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13_ncr:1_{38909BDE-2D15-4123-B78B-22AD8D3CCF80}" xr6:coauthVersionLast="36" xr6:coauthVersionMax="36" xr10:uidLastSave="{00000000-0000-0000-0000-000000000000}"/>
  <bookViews>
    <workbookView xWindow="0" yWindow="465" windowWidth="28800" windowHeight="17460" xr2:uid="{00000000-000D-0000-FFFF-FFFF00000000}"/>
  </bookViews>
  <sheets>
    <sheet name="Info general" sheetId="17" r:id="rId1"/>
    <sheet name="Plan economique (PAS)" sheetId="18" r:id="rId2"/>
    <sheet name="Apport CRM" sheetId="20" r:id="rId3"/>
  </sheets>
  <definedNames>
    <definedName name="_xlnm.Print_Area" localSheetId="0">'Info general'!$A$1:$H$24</definedName>
    <definedName name="_xlnm.Print_Area" localSheetId="1">'Plan economique (PAS)'!$A$1:$M$63</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38" i="18" l="1"/>
  <c r="G38" i="18"/>
  <c r="H38" i="18"/>
  <c r="M6" i="18"/>
  <c r="K38" i="18"/>
  <c r="L38" i="18"/>
  <c r="M38" i="18"/>
  <c r="C17" i="18"/>
  <c r="C39" i="18"/>
  <c r="G39" i="18"/>
  <c r="H39" i="18"/>
  <c r="K39" i="18"/>
  <c r="L39" i="18"/>
  <c r="M39" i="18"/>
  <c r="C40" i="18"/>
  <c r="G40" i="18"/>
  <c r="H40" i="18"/>
  <c r="K40" i="18"/>
  <c r="L40" i="18"/>
  <c r="M40" i="18"/>
  <c r="C41" i="18"/>
  <c r="G41" i="18"/>
  <c r="H41" i="18"/>
  <c r="K41" i="18"/>
  <c r="L41" i="18"/>
  <c r="M41" i="18"/>
  <c r="C42" i="18"/>
  <c r="E42" i="18"/>
  <c r="G42" i="18"/>
  <c r="H42" i="18"/>
  <c r="K42" i="18"/>
  <c r="L42" i="18"/>
  <c r="M42" i="18"/>
  <c r="C43" i="18"/>
  <c r="G43" i="18"/>
  <c r="H43" i="18"/>
  <c r="K43" i="18"/>
  <c r="L43" i="18"/>
  <c r="M43" i="18"/>
  <c r="C44" i="18"/>
  <c r="G44" i="18"/>
  <c r="H44" i="18"/>
  <c r="K44" i="18"/>
  <c r="L44" i="18"/>
  <c r="M44" i="18"/>
  <c r="C45" i="18"/>
  <c r="G45" i="18"/>
  <c r="H45" i="18"/>
  <c r="K45" i="18"/>
  <c r="L45" i="18"/>
  <c r="M45" i="18"/>
  <c r="C46" i="18"/>
  <c r="G46" i="18"/>
  <c r="H46" i="18"/>
  <c r="K46" i="18"/>
  <c r="L46" i="18"/>
  <c r="M46" i="18"/>
  <c r="C47" i="18"/>
  <c r="E47" i="18"/>
  <c r="G47" i="18"/>
  <c r="H47" i="18"/>
  <c r="K47" i="18"/>
  <c r="L47" i="18"/>
  <c r="M47" i="18"/>
  <c r="E48" i="18"/>
  <c r="G48" i="18"/>
  <c r="H48" i="18"/>
  <c r="K48" i="18"/>
  <c r="L48" i="18"/>
  <c r="M48" i="18"/>
  <c r="E16" i="18"/>
  <c r="G16" i="18"/>
  <c r="G17" i="18"/>
  <c r="E18" i="18"/>
  <c r="G18" i="18"/>
  <c r="E19" i="18"/>
  <c r="G19" i="18"/>
  <c r="E51" i="18"/>
  <c r="G51" i="18"/>
  <c r="L51" i="18"/>
  <c r="M51" i="18"/>
  <c r="E22" i="18"/>
  <c r="G22" i="18"/>
  <c r="E52" i="18"/>
  <c r="G52" i="18"/>
  <c r="L52" i="18"/>
  <c r="M52" i="18"/>
  <c r="G53" i="18"/>
  <c r="L53" i="18"/>
  <c r="M53" i="18"/>
  <c r="G54" i="18"/>
  <c r="L54" i="18"/>
  <c r="M54" i="18"/>
  <c r="M56" i="18"/>
  <c r="M71" i="18"/>
  <c r="L56" i="18"/>
  <c r="L71" i="18"/>
  <c r="K56" i="18"/>
  <c r="K71" i="18"/>
  <c r="G11" i="18"/>
  <c r="H11" i="18"/>
  <c r="K11" i="18"/>
  <c r="L11" i="18"/>
  <c r="M11" i="18"/>
  <c r="C13" i="18"/>
  <c r="G13" i="18"/>
  <c r="H13" i="18"/>
  <c r="K13" i="18"/>
  <c r="L13" i="18"/>
  <c r="M13" i="18"/>
  <c r="K14" i="18"/>
  <c r="L14" i="18"/>
  <c r="M14" i="18"/>
  <c r="M69" i="18"/>
  <c r="H16" i="18"/>
  <c r="K16" i="18"/>
  <c r="L16" i="18"/>
  <c r="M16" i="18"/>
  <c r="H17" i="18"/>
  <c r="K17" i="18"/>
  <c r="L17" i="18"/>
  <c r="M17" i="18"/>
  <c r="H18" i="18"/>
  <c r="K18" i="18"/>
  <c r="L18" i="18"/>
  <c r="M18" i="18"/>
  <c r="H19" i="18"/>
  <c r="K19" i="18"/>
  <c r="L19" i="18"/>
  <c r="M19" i="18"/>
  <c r="G20" i="18"/>
  <c r="H20" i="18"/>
  <c r="K20" i="18"/>
  <c r="L20" i="18"/>
  <c r="M20" i="18"/>
  <c r="C21" i="18"/>
  <c r="G21" i="18"/>
  <c r="H21" i="18"/>
  <c r="K21" i="18"/>
  <c r="L21" i="18"/>
  <c r="M21" i="18"/>
  <c r="H22" i="18"/>
  <c r="K22" i="18"/>
  <c r="L22" i="18"/>
  <c r="M22" i="18"/>
  <c r="G23" i="18"/>
  <c r="H23" i="18"/>
  <c r="K23" i="18"/>
  <c r="L23" i="18"/>
  <c r="M23" i="18"/>
  <c r="G24" i="18"/>
  <c r="H24" i="18"/>
  <c r="K24" i="18"/>
  <c r="L24" i="18"/>
  <c r="M24" i="18"/>
  <c r="G25" i="18"/>
  <c r="H25" i="18"/>
  <c r="K25" i="18"/>
  <c r="L25" i="18"/>
  <c r="M25" i="18"/>
  <c r="G26" i="18"/>
  <c r="H26" i="18"/>
  <c r="K26" i="18"/>
  <c r="L26" i="18"/>
  <c r="M26" i="18"/>
  <c r="G27" i="18"/>
  <c r="H27" i="18"/>
  <c r="K27" i="18"/>
  <c r="L27" i="18"/>
  <c r="M27" i="18"/>
  <c r="E28" i="18"/>
  <c r="G28" i="18"/>
  <c r="H28" i="18"/>
  <c r="K28" i="18"/>
  <c r="L28" i="18"/>
  <c r="M28" i="18"/>
  <c r="G29" i="18"/>
  <c r="H29" i="18"/>
  <c r="K29" i="18"/>
  <c r="L29" i="18"/>
  <c r="M29" i="18"/>
  <c r="M34" i="18"/>
  <c r="M70" i="18"/>
  <c r="L69" i="18"/>
  <c r="L34" i="18"/>
  <c r="L70" i="18"/>
  <c r="G12" i="18"/>
  <c r="H12" i="18"/>
  <c r="K12" i="18"/>
  <c r="K69" i="18"/>
  <c r="K34" i="18"/>
  <c r="K70" i="18"/>
  <c r="H56" i="18"/>
  <c r="H71" i="18"/>
  <c r="H32" i="18"/>
  <c r="H34" i="18"/>
  <c r="H69" i="18"/>
  <c r="H70" i="18"/>
  <c r="F26" i="17"/>
  <c r="H26" i="17"/>
  <c r="H32" i="17"/>
  <c r="M68" i="18"/>
  <c r="L68" i="18"/>
  <c r="F32" i="17"/>
  <c r="L67" i="18"/>
  <c r="K67" i="18"/>
  <c r="M72" i="18"/>
  <c r="L72" i="18"/>
  <c r="K72" i="18"/>
  <c r="H72" i="18"/>
  <c r="F27" i="17"/>
  <c r="F30" i="17"/>
  <c r="H30" i="17"/>
  <c r="H27" i="17"/>
  <c r="F28" i="17"/>
  <c r="H28" i="17"/>
  <c r="F29" i="17"/>
  <c r="H29" i="17"/>
  <c r="H60" i="18"/>
  <c r="H59" i="18"/>
  <c r="H61" i="18"/>
  <c r="H63" i="18"/>
  <c r="F23" i="17"/>
  <c r="D42" i="20"/>
  <c r="B40" i="20"/>
  <c r="B39" i="20"/>
  <c r="B41" i="20"/>
  <c r="B42" i="20"/>
  <c r="B43" i="20"/>
  <c r="B38" i="20"/>
  <c r="B35" i="20"/>
  <c r="C38" i="20"/>
  <c r="D38" i="20"/>
  <c r="C39" i="20"/>
  <c r="D39" i="20"/>
  <c r="C40" i="20"/>
  <c r="D40" i="20"/>
  <c r="C41" i="20"/>
  <c r="D41" i="20"/>
  <c r="C42" i="20"/>
  <c r="C43" i="20"/>
  <c r="D43" i="20"/>
  <c r="A39" i="20"/>
  <c r="A40" i="20"/>
  <c r="A41" i="20"/>
  <c r="A42" i="20"/>
  <c r="A43" i="20"/>
  <c r="A38" i="20"/>
  <c r="D28" i="20"/>
  <c r="C35" i="20"/>
  <c r="D35" i="20"/>
  <c r="A35" i="20"/>
  <c r="D32" i="20"/>
  <c r="C32" i="20"/>
  <c r="B32" i="20"/>
  <c r="A32" i="20"/>
  <c r="D31" i="20"/>
  <c r="C31" i="20"/>
  <c r="B31" i="20"/>
  <c r="A31" i="20"/>
  <c r="D30" i="20"/>
  <c r="C30" i="20"/>
  <c r="B30" i="20"/>
  <c r="A30" i="20"/>
  <c r="D29" i="20"/>
  <c r="C29" i="20"/>
  <c r="B29" i="20"/>
  <c r="A29" i="20"/>
  <c r="B28" i="20"/>
  <c r="C28" i="20"/>
  <c r="A28" i="20"/>
  <c r="C25" i="20"/>
  <c r="D25" i="20"/>
  <c r="B25" i="20"/>
  <c r="A25" i="20"/>
  <c r="A18" i="20"/>
  <c r="A16" i="20"/>
  <c r="B16" i="20"/>
  <c r="D16" i="20"/>
  <c r="A17" i="20"/>
  <c r="B17" i="20"/>
  <c r="D17" i="20"/>
  <c r="B18" i="20"/>
  <c r="D18" i="20"/>
  <c r="A14" i="20"/>
  <c r="B14" i="20"/>
  <c r="D14" i="20"/>
  <c r="A15" i="20"/>
  <c r="B15" i="20"/>
  <c r="D15" i="20"/>
  <c r="D13" i="20"/>
  <c r="B13" i="20"/>
  <c r="A13" i="20"/>
  <c r="B8" i="20"/>
  <c r="B7" i="20"/>
  <c r="A56" i="20"/>
  <c r="A55" i="20"/>
  <c r="A54" i="20"/>
  <c r="A53" i="20"/>
  <c r="A52" i="20"/>
  <c r="A51" i="20"/>
  <c r="E46" i="20"/>
  <c r="E45" i="20"/>
  <c r="E56" i="20"/>
  <c r="E39" i="20"/>
  <c r="E40" i="20"/>
  <c r="E30" i="20"/>
  <c r="E31" i="20"/>
  <c r="E32" i="20"/>
  <c r="E41" i="20"/>
  <c r="E29" i="20"/>
  <c r="E17" i="20"/>
  <c r="E14" i="20"/>
  <c r="E16" i="20"/>
  <c r="E28" i="20"/>
  <c r="E15" i="20"/>
  <c r="E18" i="20"/>
  <c r="E42" i="20"/>
  <c r="E38" i="20"/>
  <c r="E25" i="20"/>
  <c r="E35" i="20"/>
  <c r="E34" i="20"/>
  <c r="E55" i="20"/>
  <c r="E43" i="20"/>
  <c r="E13" i="20"/>
  <c r="D48" i="18"/>
  <c r="D47" i="18"/>
  <c r="B46" i="18"/>
  <c r="E19" i="17"/>
  <c r="F17" i="17"/>
  <c r="H17" i="17"/>
  <c r="B47" i="18"/>
  <c r="B43" i="18"/>
  <c r="D43" i="18"/>
  <c r="B44" i="18"/>
  <c r="D42" i="18"/>
  <c r="D41" i="18"/>
  <c r="F16" i="17"/>
  <c r="F19" i="17"/>
  <c r="F18" i="17"/>
  <c r="B41" i="18"/>
  <c r="B42" i="18"/>
  <c r="B40" i="18"/>
  <c r="F21" i="17"/>
  <c r="F20" i="17"/>
  <c r="H20" i="17"/>
  <c r="H23" i="17"/>
  <c r="H18" i="17"/>
  <c r="H19" i="17"/>
  <c r="H16" i="17"/>
  <c r="D39" i="18"/>
  <c r="D38" i="18"/>
  <c r="E24" i="20"/>
  <c r="E52" i="20"/>
  <c r="E27" i="20"/>
  <c r="E37" i="20"/>
  <c r="E54" i="20"/>
  <c r="E20" i="20"/>
  <c r="E51" i="20"/>
  <c r="L62" i="18"/>
  <c r="M62" i="18"/>
  <c r="E53" i="20"/>
  <c r="E58" i="20"/>
  <c r="E48" i="20"/>
  <c r="K60" i="18"/>
  <c r="L60" i="18"/>
  <c r="M60" i="18"/>
  <c r="K59" i="18"/>
  <c r="K61" i="18"/>
  <c r="K63" i="18"/>
  <c r="M59" i="18"/>
  <c r="M61" i="18"/>
  <c r="M63" i="18"/>
  <c r="L59" i="18"/>
  <c r="L61" i="18"/>
  <c r="L63" i="18"/>
</calcChain>
</file>

<file path=xl/sharedStrings.xml><?xml version="1.0" encoding="utf-8"?>
<sst xmlns="http://schemas.openxmlformats.org/spreadsheetml/2006/main" count="400" uniqueCount="192">
  <si>
    <t>TOTAL</t>
  </si>
  <si>
    <t>Total</t>
  </si>
  <si>
    <t>Type d'investissement</t>
  </si>
  <si>
    <t>Unité</t>
  </si>
  <si>
    <t>INVESTISSEMENT INITIAL AGR</t>
  </si>
  <si>
    <t>Coûts fixes</t>
  </si>
  <si>
    <t>Coûts variables</t>
  </si>
  <si>
    <t>B</t>
  </si>
  <si>
    <t>A-Nº</t>
  </si>
  <si>
    <t>A</t>
  </si>
  <si>
    <t>B-Nº</t>
  </si>
  <si>
    <t>C-Nº</t>
  </si>
  <si>
    <t>C</t>
  </si>
  <si>
    <t>A.1</t>
  </si>
  <si>
    <t>A.2</t>
  </si>
  <si>
    <t>A.3</t>
  </si>
  <si>
    <t>A.4</t>
  </si>
  <si>
    <t>A.5</t>
  </si>
  <si>
    <t>B.1</t>
  </si>
  <si>
    <t>B.2</t>
  </si>
  <si>
    <t>B.3</t>
  </si>
  <si>
    <t>B.4</t>
  </si>
  <si>
    <t>B.5</t>
  </si>
  <si>
    <t>C.1</t>
  </si>
  <si>
    <t>C.2</t>
  </si>
  <si>
    <t>C.3</t>
  </si>
  <si>
    <t>COÛTS DE L'ACTIVITÉ</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</si>
  <si>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</si>
  <si>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</si>
  <si>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</si>
  <si>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</si>
  <si>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</si>
  <si>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</si>
  <si>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</si>
  <si>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</si>
  <si>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</si>
  <si>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</si>
  <si>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Location</t>
  </si>
  <si>
    <t>Transport</t>
  </si>
  <si>
    <t>Prix unitaire</t>
  </si>
  <si>
    <t>Plan Economique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</si>
  <si>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</si>
  <si>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</si>
  <si>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</si>
  <si>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</si>
  <si>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</si>
  <si>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</si>
  <si>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</si>
  <si>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</si>
  <si>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</si>
  <si>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</si>
  <si>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</si>
  <si>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</si>
  <si>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</si>
  <si>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</si>
  <si>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</si>
  <si>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</si>
  <si>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</si>
  <si>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</si>
  <si>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</si>
  <si>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</si>
  <si>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</si>
  <si>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</si>
  <si>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</si>
  <si>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</si>
  <si>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</si>
  <si>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Poisson</t>
  </si>
  <si>
    <t>Légumes</t>
  </si>
  <si>
    <t>RÉSUMÉ SUPPORT AGR</t>
  </si>
  <si>
    <t>B.7</t>
  </si>
  <si>
    <t>Remarques</t>
  </si>
  <si>
    <t>Entretien</t>
  </si>
  <si>
    <t>Mois</t>
  </si>
  <si>
    <t>Total (Mois)</t>
  </si>
  <si>
    <t>Total (cycle)</t>
  </si>
  <si>
    <t>Emballage</t>
  </si>
  <si>
    <t>MRU</t>
  </si>
  <si>
    <t>kg</t>
  </si>
  <si>
    <t>transport</t>
  </si>
  <si>
    <t>forfait</t>
  </si>
  <si>
    <t>Congelateur solaire 208 litres, avec panneaux, installation et transport</t>
  </si>
  <si>
    <t>Achat à Kiffa</t>
  </si>
  <si>
    <t>Forfait demarrage (transport materiels, visites fournisseurs, etc.)</t>
  </si>
  <si>
    <t>B.8</t>
  </si>
  <si>
    <t>B.10</t>
  </si>
  <si>
    <t>B.11</t>
  </si>
  <si>
    <t>B.12</t>
  </si>
  <si>
    <t>B.13</t>
  </si>
  <si>
    <t>semaine</t>
  </si>
  <si>
    <t>mois</t>
  </si>
  <si>
    <t>C.4</t>
  </si>
  <si>
    <t>C.5</t>
  </si>
  <si>
    <t>C.6</t>
  </si>
  <si>
    <t>C.7</t>
  </si>
  <si>
    <t>B.14</t>
  </si>
  <si>
    <t>B.15</t>
  </si>
  <si>
    <t xml:space="preserve">Apport CRM </t>
  </si>
  <si>
    <r>
      <t>Type/nom de l'activité génératrice de revenus:</t>
    </r>
    <r>
      <rPr>
        <sz val="11"/>
        <color theme="1"/>
        <rFont val="Calibri"/>
        <family val="2"/>
        <scheme val="minor"/>
      </rPr>
      <t xml:space="preserve"> </t>
    </r>
  </si>
  <si>
    <t>1 cycle</t>
  </si>
  <si>
    <t>Club de mères - Daghvegue</t>
  </si>
  <si>
    <t>Daghvegue</t>
  </si>
  <si>
    <t>nattes</t>
  </si>
  <si>
    <t>2 fois par semaine</t>
  </si>
  <si>
    <t>congeateur vieux (qui utilisent comme thermos)</t>
  </si>
  <si>
    <t>Poulet</t>
  </si>
  <si>
    <t>2 carton de 10 kg</t>
  </si>
  <si>
    <t>Transport poulet</t>
  </si>
  <si>
    <t>carton 10 kg</t>
  </si>
  <si>
    <t>transport 100 x carton (de Nouakchott)</t>
  </si>
  <si>
    <t xml:space="preserve">100 kg bissap, 4-5 sucre (30 MRU/kg), bouteille 1MRU, </t>
  </si>
  <si>
    <t>bouteille 50cl</t>
  </si>
  <si>
    <t>Légumes (piment, nyo, etc.)</t>
  </si>
  <si>
    <t>Huile</t>
  </si>
  <si>
    <t>bidon 20l</t>
  </si>
  <si>
    <t>Barkeol</t>
  </si>
  <si>
    <t>Pate</t>
  </si>
  <si>
    <t>sac 10 kg</t>
  </si>
  <si>
    <t>maintenant (ramadan le riz est cher)</t>
  </si>
  <si>
    <t>C.9</t>
  </si>
  <si>
    <t xml:space="preserve">24l </t>
  </si>
  <si>
    <t>A.6</t>
  </si>
  <si>
    <t>balance, couteaux (x2), pots, multiprises (x2)</t>
  </si>
  <si>
    <t>sac 50 ud</t>
  </si>
  <si>
    <t>Biscuit</t>
  </si>
  <si>
    <t>unités</t>
  </si>
  <si>
    <t>C.8</t>
  </si>
  <si>
    <t>C.10</t>
  </si>
  <si>
    <t>Recharge batterie</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</si>
  <si>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</si>
  <si>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</si>
  <si>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</si>
  <si>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</si>
  <si>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</si>
  <si>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</si>
  <si>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</si>
  <si>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totale</t>
  </si>
  <si>
    <t>Total Investissement AGR couvert</t>
  </si>
  <si>
    <t>Dépenses par cycle (Fonds de roulement)</t>
  </si>
  <si>
    <t>1 mois</t>
  </si>
  <si>
    <t>Autres</t>
  </si>
  <si>
    <t>Emballages et autres dépenses mineures</t>
  </si>
  <si>
    <t>Total dépenses (fond roulement) couvertes</t>
  </si>
  <si>
    <t>Total Contribution CRM (MRU)</t>
  </si>
  <si>
    <t>Boutique, avec congélateur solaire, de vente de produits frais et congelés, notamment poisson, légumes et poulet. Cette activité se complémente avec l’élaboration et vente de boissons traditionnelles (jus de bissap).</t>
  </si>
  <si>
    <t xml:space="preserve">Thermo pour le transport </t>
  </si>
  <si>
    <t>Thermo pour le transport petit (24l)</t>
  </si>
  <si>
    <t>Vente bidon huile</t>
  </si>
  <si>
    <t>litres</t>
  </si>
  <si>
    <t>production d'entre 40-50 bouteilles 50cl</t>
  </si>
  <si>
    <t>Coûts variables. Vente de poisson, légumes et poulets, cycle hebdomadaire</t>
  </si>
  <si>
    <t>Coûts variables. Elaboration de jus de bissap, cycle hebdomadaire</t>
  </si>
  <si>
    <t>Coûts variables. Vente d'autre type de produits complementaires, cycle hebdomadaire</t>
  </si>
  <si>
    <t>Equipment (balance,2 couteaux, pots, 2 multiprises)</t>
  </si>
  <si>
    <t>Amenagement boutique (nattes)</t>
  </si>
  <si>
    <t>1 cycle, plus 5 bidons</t>
  </si>
  <si>
    <t>Année 2 et 3</t>
  </si>
  <si>
    <t>Thermo pour le transport 48 Kg.</t>
  </si>
  <si>
    <t>unité</t>
  </si>
  <si>
    <t>Amenagement boutique (estimation)</t>
  </si>
  <si>
    <t>ameliorations pour l'augmantation de produits</t>
  </si>
  <si>
    <t>Equipment (estimation)</t>
  </si>
  <si>
    <t>TOTAL ANNÉES 2 ET 3</t>
  </si>
  <si>
    <t>Charrette</t>
  </si>
  <si>
    <t>Ane (pour la charette)</t>
  </si>
  <si>
    <t>Scenario évolution AGR (années 2 et 3)</t>
  </si>
  <si>
    <t>Estimation vente de 2 à 4 fois par semaine</t>
  </si>
  <si>
    <t>4 fois la production initiale</t>
  </si>
  <si>
    <t>Scenario évolution AGR (années 2 et 3), estimation mensuelle</t>
  </si>
  <si>
    <t>Location charrette</t>
  </si>
  <si>
    <t>achat charrette (année2)</t>
  </si>
  <si>
    <t>Estimation d'entretiens chaque 6 mois</t>
  </si>
  <si>
    <t>à Nouakchott (1000 + 600), 500 congélateur vide (si thermos vide -30 kg- 200 MRU)</t>
  </si>
  <si>
    <t>Crédit téléphonique</t>
  </si>
  <si>
    <t>à la société (Barkeol)</t>
  </si>
  <si>
    <t>entre 5 et 10 MRU/téléphone</t>
  </si>
  <si>
    <t>Bénéfice. Augmentation poisson et légumes</t>
  </si>
  <si>
    <t>Bénéfice. Augmentation production bissap</t>
  </si>
  <si>
    <t>Bénéfice . Diversification produits (denrées alimentaires)</t>
  </si>
  <si>
    <t>Bénéfice . Diversification produits (boissons)</t>
  </si>
  <si>
    <t>RESUME</t>
  </si>
  <si>
    <t xml:space="preserve">Investissement </t>
  </si>
  <si>
    <t>Dépenses fixes</t>
  </si>
  <si>
    <t>Dépenses variables</t>
  </si>
  <si>
    <t>Recettes</t>
  </si>
  <si>
    <t xml:space="preserve">Type/nom de l'activité génératrice de revenus: </t>
  </si>
  <si>
    <t>C1</t>
  </si>
  <si>
    <t>C2</t>
  </si>
  <si>
    <t>C3</t>
  </si>
  <si>
    <t>C4</t>
  </si>
  <si>
    <r>
      <t xml:space="preserve">Plan économique pour le </t>
    </r>
    <r>
      <rPr>
        <b/>
        <sz val="11"/>
        <color theme="1"/>
        <rFont val="Calibri"/>
        <family val="2"/>
        <scheme val="minor"/>
      </rPr>
      <t>premier année selon la définition élaborée avec le groupement</t>
    </r>
    <r>
      <rPr>
        <sz val="11"/>
        <color theme="1"/>
        <rFont val="Calibri"/>
        <family val="2"/>
        <scheme val="minor"/>
      </rPr>
      <t xml:space="preserve">.
</t>
    </r>
    <r>
      <rPr>
        <b/>
        <sz val="11"/>
        <color theme="1"/>
        <rFont val="Calibri"/>
        <family val="2"/>
        <scheme val="minor"/>
      </rPr>
      <t>Scenario d'évolution du PAS</t>
    </r>
    <r>
      <rPr>
        <sz val="11"/>
        <color theme="1"/>
        <rFont val="Calibri"/>
        <family val="2"/>
        <scheme val="minor"/>
      </rPr>
      <t>: achat d'un charrette et augmentation des ventes, avec la promotion et la distribution à d'autres villages /quartiers. Vente de poisson (de 2 à 4 fois x semaine), diversification de produits (denrées alimentaires et boissons), augmenter la production et vente de bissap. L'évolution est calculée sur la base de bénéfices mensuels et en utilisant les résultats des AGRs d'autres groupements.</t>
    </r>
  </si>
  <si>
    <t>Bissap matière première (bissap, sucre)</t>
  </si>
  <si>
    <t>pas de nouvelles dépenses fixes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</si>
</sst>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 _€_-;\-* #,##0.0\ _€_-;_-* &quot;-&quot;??\ _€_-;_-@_-"/>
    <numFmt numFmtId="165" formatCode="_-* #,##0\ _€_-;\-* #,##0\ _€_-;_-* &quot;-&quot;??\ _€_-;_-@_-"/>
    <numFmt numFmtId="166" formatCode="0.0"/>
  </numFmts>
  <fonts count="23"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b/>
      <sz val="12"/>
      <color theme="0"/>
      <name val="Calibri"/>
      <family val="2"/>
      <scheme val="minor"/>
    </font>
    <font>
      <sz val="11"/>
      <name val="Calibri"/>
      <family val="2"/>
      <scheme val="minor"/>
    </font>
    <font>
      <sz val="12"/>
      <name val="Calibri"/>
      <family val="2"/>
      <scheme val="minor"/>
    </font>
    <font>
      <b/>
      <sz val="11"/>
      <color theme="8" tint="-0.499984740745262"/>
      <name val="Calibri"/>
      <family val="2"/>
      <scheme val="minor"/>
    </font>
    <font>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0"/>
        <bgColor indexed="64"/>
      </patternFill>
    </fill>
    <fill>
      <patternFill patternType="solid">
        <fgColor theme="2" tint="-9.9978637043366805E-2"/>
        <bgColor indexed="64"/>
      </patternFill>
    </fill>
    <fill>
      <patternFill patternType="solid">
        <fgColor rgb="FFF6F5F0"/>
        <bgColor indexed="64"/>
      </patternFill>
    </fill>
    <fill>
      <patternFill patternType="solid">
        <fgColor theme="8" tint="-0.499984740745262"/>
        <bgColor indexed="64"/>
      </patternFill>
    </fill>
    <fill>
      <patternFill patternType="solid">
        <fgColor theme="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12">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165" fontId="0" fillId="3" borderId="0" xfId="1" applyNumberFormat="1" applyFont="1" applyFill="1" applyBorder="1" applyAlignment="1">
      <alignment horizontal="center" vertical="center"/>
    </xf>
    <xf numFmtId="165" fontId="4" fillId="4" borderId="0" xfId="1" applyNumberFormat="1" applyFont="1" applyFill="1" applyBorder="1" applyAlignment="1">
      <alignment horizontal="center" vertical="center"/>
    </xf>
    <xf numFmtId="165" fontId="0" fillId="0" borderId="0" xfId="1" applyNumberFormat="1" applyFont="1" applyBorder="1" applyAlignment="1">
      <alignment horizontal="center" vertical="center"/>
    </xf>
    <xf numFmtId="165" fontId="4" fillId="3" borderId="0" xfId="1" applyNumberFormat="1" applyFont="1" applyFill="1" applyBorder="1" applyAlignment="1">
      <alignment vertical="center"/>
    </xf>
    <xf numFmtId="165" fontId="9" fillId="2" borderId="0" xfId="1" applyNumberFormat="1" applyFont="1" applyFill="1" applyBorder="1" applyAlignment="1">
      <alignment horizontal="center" vertical="center"/>
    </xf>
    <xf numFmtId="165" fontId="3" fillId="0" borderId="0" xfId="1" applyNumberFormat="1" applyFont="1" applyBorder="1" applyAlignment="1">
      <alignment horizontal="center" vertical="center"/>
    </xf>
    <xf numFmtId="165"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15" fillId="0" borderId="0" xfId="0" applyFont="1" applyFill="1" applyBorder="1" applyAlignment="1">
      <alignment vertical="center"/>
    </xf>
    <xf numFmtId="0" fontId="4" fillId="5" borderId="0" xfId="0" applyFont="1" applyFill="1" applyBorder="1" applyAlignment="1">
      <alignment horizontal="center" vertical="center"/>
    </xf>
    <xf numFmtId="165" fontId="0" fillId="5" borderId="0" xfId="1" applyNumberFormat="1" applyFont="1" applyFill="1" applyBorder="1" applyAlignment="1">
      <alignment horizontal="center" vertical="center"/>
    </xf>
    <xf numFmtId="165" fontId="0" fillId="0" borderId="0" xfId="0" applyNumberFormat="1" applyFont="1" applyBorder="1" applyAlignment="1">
      <alignment vertical="center"/>
    </xf>
    <xf numFmtId="0" fontId="0" fillId="0" borderId="0" xfId="0" applyFont="1" applyBorder="1" applyAlignment="1">
      <alignment horizontal="center" vertical="center"/>
    </xf>
    <xf numFmtId="0" fontId="0" fillId="0" borderId="0" xfId="0" applyFill="1" applyAlignment="1">
      <alignment horizontal="left" vertical="top" wrapText="1"/>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165" fontId="0" fillId="0" borderId="0" xfId="1" applyNumberFormat="1" applyFont="1" applyBorder="1" applyAlignment="1">
      <alignment horizontal="left" vertical="center"/>
    </xf>
    <xf numFmtId="165" fontId="18" fillId="2" borderId="0" xfId="1" applyNumberFormat="1" applyFont="1" applyFill="1" applyBorder="1" applyAlignment="1">
      <alignment horizontal="left" vertical="center"/>
    </xf>
    <xf numFmtId="165" fontId="3" fillId="0" borderId="0" xfId="1" applyNumberFormat="1" applyFont="1" applyBorder="1" applyAlignment="1">
      <alignment horizontal="left" vertical="center"/>
    </xf>
    <xf numFmtId="165" fontId="0" fillId="3" borderId="0" xfId="1" applyNumberFormat="1" applyFont="1" applyFill="1" applyBorder="1" applyAlignment="1">
      <alignment horizontal="left" vertical="center"/>
    </xf>
    <xf numFmtId="165" fontId="4" fillId="4" borderId="0" xfId="1" applyNumberFormat="1" applyFont="1" applyFill="1" applyBorder="1" applyAlignment="1">
      <alignment horizontal="left" vertical="center"/>
    </xf>
    <xf numFmtId="165" fontId="9" fillId="2" borderId="0" xfId="1" applyNumberFormat="1" applyFont="1" applyFill="1" applyBorder="1" applyAlignment="1">
      <alignment horizontal="left" vertical="center"/>
    </xf>
    <xf numFmtId="165" fontId="0" fillId="5" borderId="0" xfId="1" applyNumberFormat="1" applyFont="1" applyFill="1" applyBorder="1" applyAlignment="1">
      <alignment horizontal="left" vertical="center"/>
    </xf>
    <xf numFmtId="0" fontId="0" fillId="0" borderId="0" xfId="0" applyFont="1" applyBorder="1" applyAlignment="1">
      <alignment horizontal="left" vertical="center"/>
    </xf>
    <xf numFmtId="0" fontId="0" fillId="3" borderId="0" xfId="1" applyNumberFormat="1" applyFont="1" applyFill="1" applyBorder="1" applyAlignment="1">
      <alignment horizontal="center" vertical="center"/>
    </xf>
    <xf numFmtId="1" fontId="0" fillId="0" borderId="0" xfId="0" applyNumberFormat="1" applyFont="1" applyBorder="1" applyAlignment="1">
      <alignment horizontal="center" vertical="center"/>
    </xf>
    <xf numFmtId="0" fontId="9"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Font="1" applyBorder="1" applyAlignment="1">
      <alignment horizontal="center" vertical="center"/>
    </xf>
    <xf numFmtId="165" fontId="0" fillId="0" borderId="0" xfId="1" applyNumberFormat="1" applyFont="1" applyFill="1" applyBorder="1" applyAlignment="1">
      <alignment horizontal="center" vertical="center"/>
    </xf>
    <xf numFmtId="0" fontId="0" fillId="0" borderId="0" xfId="0" applyFont="1" applyBorder="1" applyAlignment="1">
      <alignment horizontal="left" vertical="top" wrapText="1"/>
    </xf>
    <xf numFmtId="0" fontId="4" fillId="3" borderId="0" xfId="0" applyFont="1" applyFill="1" applyBorder="1" applyAlignment="1">
      <alignment horizontal="center" vertical="center"/>
    </xf>
    <xf numFmtId="165" fontId="17" fillId="3" borderId="7" xfId="1" applyNumberFormat="1" applyFont="1" applyFill="1" applyBorder="1" applyAlignment="1">
      <alignment horizontal="center" vertical="center"/>
    </xf>
    <xf numFmtId="0" fontId="6" fillId="0" borderId="0" xfId="0" applyFont="1" applyFill="1" applyBorder="1" applyAlignment="1">
      <alignment vertical="center"/>
    </xf>
    <xf numFmtId="0" fontId="11" fillId="0" borderId="0" xfId="0" applyFont="1" applyFill="1" applyBorder="1" applyAlignment="1">
      <alignment horizontal="left" vertical="center"/>
    </xf>
    <xf numFmtId="0" fontId="0" fillId="0" borderId="0" xfId="0" applyFont="1" applyBorder="1" applyAlignment="1">
      <alignment vertical="center" wrapText="1"/>
    </xf>
    <xf numFmtId="0" fontId="19" fillId="0" borderId="0" xfId="0" applyFont="1" applyBorder="1" applyAlignment="1">
      <alignment vertical="top" wrapText="1"/>
    </xf>
    <xf numFmtId="0" fontId="19" fillId="0" borderId="0" xfId="0" applyFont="1" applyFill="1" applyAlignment="1">
      <alignment horizontal="center" vertical="top" wrapText="1"/>
    </xf>
    <xf numFmtId="0" fontId="0" fillId="0" borderId="0" xfId="0" applyFill="1" applyAlignment="1">
      <alignment horizontal="center" vertical="top" wrapText="1"/>
    </xf>
    <xf numFmtId="0" fontId="10" fillId="0" borderId="2" xfId="0" applyFont="1" applyBorder="1" applyAlignment="1">
      <alignment horizontal="left" vertical="center"/>
    </xf>
    <xf numFmtId="0" fontId="0" fillId="0" borderId="0" xfId="0" applyFont="1" applyBorder="1" applyAlignment="1">
      <alignment horizontal="center" vertical="center"/>
    </xf>
    <xf numFmtId="166" fontId="0" fillId="0" borderId="0" xfId="0" applyNumberFormat="1" applyFont="1" applyBorder="1" applyAlignment="1">
      <alignment horizontal="center" vertical="center"/>
    </xf>
    <xf numFmtId="0" fontId="0" fillId="0" borderId="0" xfId="0" applyFont="1" applyBorder="1" applyAlignment="1">
      <alignment horizontal="center" vertical="center"/>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4" xfId="0" applyFont="1" applyBorder="1" applyAlignment="1">
      <alignment vertical="center"/>
    </xf>
    <xf numFmtId="0" fontId="6" fillId="0" borderId="4" xfId="0" applyFont="1" applyFill="1" applyBorder="1" applyAlignment="1">
      <alignment vertical="center"/>
    </xf>
    <xf numFmtId="165"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18"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5" fontId="11" fillId="3" borderId="0" xfId="0" applyNumberFormat="1" applyFont="1" applyFill="1" applyBorder="1" applyAlignment="1">
      <alignment horizontal="center" vertical="center"/>
    </xf>
    <xf numFmtId="165" fontId="11" fillId="3" borderId="0" xfId="1" applyNumberFormat="1" applyFont="1" applyFill="1" applyBorder="1" applyAlignment="1">
      <alignment horizontal="left" vertical="center"/>
    </xf>
    <xf numFmtId="0" fontId="20" fillId="0" borderId="0" xfId="0" applyFont="1" applyBorder="1" applyAlignment="1">
      <alignment vertical="center"/>
    </xf>
    <xf numFmtId="0" fontId="19" fillId="0" borderId="0" xfId="0" applyFont="1" applyFill="1" applyBorder="1" applyAlignment="1">
      <alignment vertical="top" wrapText="1"/>
    </xf>
    <xf numFmtId="165" fontId="19" fillId="0" borderId="0" xfId="1" applyNumberFormat="1" applyFont="1" applyFill="1" applyBorder="1" applyAlignment="1">
      <alignment horizontal="center" vertical="top" wrapText="1"/>
    </xf>
    <xf numFmtId="165" fontId="19"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5"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165" fontId="0" fillId="0" borderId="0" xfId="1" applyNumberFormat="1" applyFont="1" applyFill="1" applyBorder="1" applyAlignment="1">
      <alignment horizontal="left" vertical="center"/>
    </xf>
    <xf numFmtId="165" fontId="4" fillId="3" borderId="0" xfId="0" applyNumberFormat="1" applyFont="1" applyFill="1" applyBorder="1" applyAlignment="1">
      <alignment horizontal="left" vertical="center"/>
    </xf>
    <xf numFmtId="0" fontId="2" fillId="0" borderId="0" xfId="0" applyFont="1" applyFill="1" applyBorder="1" applyAlignment="1">
      <alignment vertical="center" wrapText="1"/>
    </xf>
    <xf numFmtId="165" fontId="0" fillId="6" borderId="0" xfId="1" applyNumberFormat="1" applyFont="1" applyFill="1" applyBorder="1" applyAlignment="1">
      <alignment horizontal="left" vertical="center"/>
    </xf>
    <xf numFmtId="0" fontId="0" fillId="6" borderId="0" xfId="0" applyFont="1" applyFill="1" applyBorder="1" applyAlignment="1">
      <alignment vertical="center"/>
    </xf>
    <xf numFmtId="165" fontId="0" fillId="6" borderId="0" xfId="1" applyNumberFormat="1" applyFont="1" applyFill="1" applyBorder="1" applyAlignment="1">
      <alignment horizontal="center" vertical="center"/>
    </xf>
    <xf numFmtId="165" fontId="0" fillId="6" borderId="0" xfId="0" applyNumberFormat="1" applyFont="1" applyFill="1" applyBorder="1" applyAlignment="1">
      <alignment vertical="center" wrapText="1"/>
    </xf>
    <xf numFmtId="165" fontId="0" fillId="0" borderId="0" xfId="0" applyNumberFormat="1" applyFont="1" applyBorder="1" applyAlignment="1">
      <alignment horizontal="left"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4" fillId="0" borderId="0" xfId="0" applyFont="1" applyFill="1" applyBorder="1" applyAlignment="1">
      <alignment horizontal="center" vertical="center"/>
    </xf>
    <xf numFmtId="0" fontId="4" fillId="4" borderId="0" xfId="0" applyFont="1" applyFill="1" applyBorder="1" applyAlignment="1">
      <alignment horizontal="left" vertical="center"/>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5" fontId="4" fillId="3" borderId="3" xfId="1" applyNumberFormat="1" applyFont="1" applyFill="1" applyBorder="1" applyAlignment="1">
      <alignment horizontal="center" vertical="center"/>
    </xf>
    <xf numFmtId="165" fontId="4" fillId="3" borderId="1" xfId="1" applyNumberFormat="1"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21" fillId="3" borderId="0" xfId="0" applyFont="1" applyFill="1" applyBorder="1" applyAlignment="1">
      <alignment horizontal="center" vertical="center"/>
    </xf>
    <xf numFmtId="0" fontId="21" fillId="3" borderId="0" xfId="0" applyFont="1" applyFill="1" applyBorder="1" applyAlignment="1">
      <alignment horizontal="left" vertical="center"/>
    </xf>
    <xf numFmtId="0" fontId="21" fillId="0" borderId="0" xfId="0" applyFont="1" applyFill="1" applyBorder="1" applyAlignment="1">
      <alignment vertical="center"/>
    </xf>
    <xf numFmtId="0" fontId="22" fillId="0" borderId="0" xfId="0" applyFont="1" applyBorder="1" applyAlignment="1">
      <alignment vertical="center"/>
    </xf>
    <xf numFmtId="0" fontId="22" fillId="3" borderId="0" xfId="0" applyFont="1" applyFill="1" applyBorder="1" applyAlignment="1">
      <alignment horizontal="left" vertical="center"/>
    </xf>
    <xf numFmtId="0" fontId="21" fillId="3" borderId="0" xfId="0" applyFont="1" applyFill="1" applyBorder="1" applyAlignment="1">
      <alignment vertical="center"/>
    </xf>
    <xf numFmtId="0" fontId="22" fillId="3" borderId="0" xfId="0" applyFont="1" applyFill="1" applyBorder="1" applyAlignment="1">
      <alignment horizontal="center" vertical="center"/>
    </xf>
    <xf numFmtId="0" fontId="0" fillId="0" borderId="0" xfId="0" applyFont="1" applyBorder="1" applyAlignment="1">
      <alignment horizontal="center" vertical="center" wrapText="1"/>
    </xf>
    <xf numFmtId="165"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5" fontId="0" fillId="3" borderId="0" xfId="1" applyNumberFormat="1" applyFont="1" applyFill="1" applyBorder="1" applyAlignment="1">
      <alignment horizontal="center" vertical="center" wrapText="1"/>
    </xf>
    <xf numFmtId="165"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165" fontId="0" fillId="0" borderId="0" xfId="1" applyNumberFormat="1"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Border="1" applyAlignment="1">
      <alignment vertical="center" wrapText="1"/>
    </xf>
    <xf numFmtId="0" fontId="0" fillId="7" borderId="0" xfId="0" applyFont="1" applyFill="1" applyBorder="1" applyAlignment="1">
      <alignment horizontal="left" vertical="center" wrapText="1"/>
    </xf>
    <xf numFmtId="0" fontId="0" fillId="3" borderId="8" xfId="0" applyFont="1" applyFill="1" applyBorder="1" applyAlignment="1">
      <alignment horizontal="center" vertical="center"/>
    </xf>
    <xf numFmtId="0" fontId="0" fillId="3" borderId="9" xfId="0" applyFont="1" applyFill="1" applyBorder="1" applyAlignment="1">
      <alignment horizontal="center" vertical="center"/>
    </xf>
    <xf numFmtId="0" fontId="22" fillId="8" borderId="0" xfId="0" applyFont="1" applyFill="1" applyBorder="1" applyAlignment="1">
      <alignment horizontal="center" vertical="center"/>
    </xf>
    <xf numFmtId="0" fontId="22" fillId="8" borderId="0" xfId="0" applyFont="1" applyFill="1" applyBorder="1" applyAlignment="1">
      <alignment vertical="center"/>
    </xf>
    <xf numFmtId="165" fontId="22" fillId="8" borderId="0" xfId="1" applyNumberFormat="1" applyFont="1" applyFill="1" applyBorder="1" applyAlignment="1">
      <alignment horizontal="center" vertical="center"/>
    </xf>
    <xf numFmtId="165" fontId="22" fillId="8" borderId="8" xfId="1" applyNumberFormat="1" applyFont="1" applyFill="1" applyBorder="1" applyAlignment="1">
      <alignment horizontal="center" vertical="center"/>
    </xf>
    <xf numFmtId="0" fontId="22" fillId="0" borderId="0" xfId="0" applyFont="1" applyBorder="1" applyAlignment="1">
      <alignment horizontal="center" vertical="center"/>
    </xf>
    <xf numFmtId="165" fontId="22" fillId="8" borderId="0" xfId="1" applyNumberFormat="1" applyFont="1" applyFill="1" applyBorder="1" applyAlignment="1">
      <alignment horizontal="left" vertical="center"/>
    </xf>
    <xf numFmtId="165" fontId="22" fillId="0" borderId="0" xfId="0" applyNumberFormat="1" applyFont="1" applyBorder="1" applyAlignment="1">
      <alignment vertical="center"/>
    </xf>
    <xf numFmtId="0" fontId="0" fillId="0" borderId="9" xfId="0" applyFont="1" applyBorder="1" applyAlignment="1">
      <alignment horizontal="center" vertical="center"/>
    </xf>
    <xf numFmtId="0" fontId="3" fillId="0" borderId="9" xfId="0" applyFont="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3" fillId="0" borderId="8" xfId="0" applyFont="1" applyBorder="1" applyAlignment="1">
      <alignment horizontal="center" vertical="center"/>
    </xf>
    <xf numFmtId="165" fontId="0" fillId="0" borderId="8" xfId="1" applyNumberFormat="1" applyFont="1" applyBorder="1" applyAlignment="1">
      <alignment horizontal="center" vertical="center"/>
    </xf>
    <xf numFmtId="165" fontId="0" fillId="0" borderId="9" xfId="1" applyNumberFormat="1" applyFont="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165" fontId="22" fillId="8" borderId="9" xfId="1" applyNumberFormat="1" applyFont="1" applyFill="1" applyBorder="1" applyAlignment="1">
      <alignment horizontal="center" vertical="center"/>
    </xf>
    <xf numFmtId="165" fontId="4" fillId="4" borderId="12" xfId="1" applyNumberFormat="1" applyFont="1" applyFill="1" applyBorder="1" applyAlignment="1">
      <alignment horizontal="center" vertical="center"/>
    </xf>
    <xf numFmtId="165" fontId="4" fillId="4" borderId="13" xfId="1" applyNumberFormat="1" applyFont="1" applyFill="1" applyBorder="1" applyAlignment="1">
      <alignment horizontal="center" vertical="center"/>
    </xf>
    <xf numFmtId="0" fontId="0" fillId="0" borderId="8" xfId="0" applyFont="1" applyBorder="1" applyAlignment="1">
      <alignment horizontal="center" vertical="center"/>
    </xf>
    <xf numFmtId="165" fontId="4" fillId="4" borderId="8" xfId="1" applyNumberFormat="1" applyFont="1" applyFill="1" applyBorder="1" applyAlignment="1">
      <alignment horizontal="center" vertical="center"/>
    </xf>
    <xf numFmtId="165" fontId="4" fillId="4" borderId="9" xfId="1" applyNumberFormat="1" applyFont="1" applyFill="1" applyBorder="1" applyAlignment="1">
      <alignment horizontal="center" vertical="center"/>
    </xf>
    <xf numFmtId="0" fontId="0" fillId="0" borderId="8" xfId="0" applyFont="1" applyBorder="1" applyAlignment="1">
      <alignment vertical="center"/>
    </xf>
    <xf numFmtId="0" fontId="0" fillId="0" borderId="9" xfId="0" applyFont="1" applyBorder="1" applyAlignment="1">
      <alignment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165" fontId="0" fillId="5" borderId="8" xfId="1" applyNumberFormat="1" applyFont="1" applyFill="1" applyBorder="1" applyAlignment="1">
      <alignment horizontal="center" vertical="center"/>
    </xf>
    <xf numFmtId="165" fontId="0" fillId="5" borderId="9" xfId="1" applyNumberFormat="1" applyFont="1" applyFill="1" applyBorder="1" applyAlignment="1">
      <alignment horizontal="center" vertical="center"/>
    </xf>
    <xf numFmtId="165" fontId="0" fillId="0" borderId="8" xfId="0" applyNumberFormat="1" applyFont="1" applyBorder="1" applyAlignment="1">
      <alignment vertical="center"/>
    </xf>
    <xf numFmtId="165" fontId="0" fillId="0" borderId="9" xfId="0" applyNumberFormat="1" applyFont="1" applyBorder="1" applyAlignment="1">
      <alignment vertical="center"/>
    </xf>
    <xf numFmtId="0" fontId="22" fillId="0" borderId="0" xfId="0" applyFont="1" applyFill="1" applyBorder="1" applyAlignment="1">
      <alignment vertical="center"/>
    </xf>
    <xf numFmtId="165" fontId="22" fillId="0" borderId="0" xfId="0" applyNumberFormat="1" applyFont="1" applyFill="1" applyBorder="1" applyAlignment="1">
      <alignment vertical="center"/>
    </xf>
    <xf numFmtId="0" fontId="22" fillId="8" borderId="0" xfId="0" applyFont="1" applyFill="1" applyBorder="1" applyAlignment="1">
      <alignment vertical="center" wrapText="1"/>
    </xf>
    <xf numFmtId="0" fontId="18" fillId="9" borderId="10" xfId="0" applyFont="1" applyFill="1" applyBorder="1" applyAlignment="1">
      <alignment horizontal="center" vertical="center"/>
    </xf>
    <xf numFmtId="0" fontId="18" fillId="9" borderId="14" xfId="0" applyFont="1" applyFill="1" applyBorder="1" applyAlignment="1">
      <alignment horizontal="center" vertical="center"/>
    </xf>
    <xf numFmtId="0" fontId="18" fillId="9" borderId="11" xfId="0" applyFont="1" applyFill="1" applyBorder="1" applyAlignment="1">
      <alignment horizontal="center" vertical="center"/>
    </xf>
    <xf numFmtId="0" fontId="1" fillId="6" borderId="0" xfId="0" applyFont="1" applyFill="1" applyBorder="1" applyAlignment="1">
      <alignment horizontal="center" vertical="center"/>
    </xf>
    <xf numFmtId="165" fontId="18" fillId="9" borderId="10" xfId="1" applyNumberFormat="1" applyFont="1" applyFill="1" applyBorder="1" applyAlignment="1">
      <alignment horizontal="center" vertical="center"/>
    </xf>
    <xf numFmtId="165" fontId="18" fillId="9" borderId="14" xfId="1" applyNumberFormat="1" applyFont="1" applyFill="1" applyBorder="1" applyAlignment="1">
      <alignment horizontal="center" vertical="center"/>
    </xf>
    <xf numFmtId="165" fontId="18" fillId="9" borderId="11" xfId="1" applyNumberFormat="1" applyFont="1" applyFill="1" applyBorder="1" applyAlignment="1">
      <alignment horizontal="center" vertical="center"/>
    </xf>
    <xf numFmtId="0" fontId="1" fillId="0" borderId="0" xfId="0" applyFont="1" applyBorder="1" applyAlignment="1">
      <alignment vertical="center"/>
    </xf>
    <xf numFmtId="0" fontId="4" fillId="10" borderId="8" xfId="0" applyFont="1" applyFill="1" applyBorder="1" applyAlignment="1">
      <alignment horizontal="center" vertical="center"/>
    </xf>
    <xf numFmtId="0" fontId="0" fillId="10" borderId="0" xfId="0" applyFont="1" applyFill="1" applyBorder="1" applyAlignment="1">
      <alignment horizontal="left" vertical="center"/>
    </xf>
    <xf numFmtId="165" fontId="0" fillId="10" borderId="0" xfId="1" applyNumberFormat="1" applyFont="1" applyFill="1" applyBorder="1" applyAlignment="1">
      <alignment horizontal="center" vertical="center"/>
    </xf>
    <xf numFmtId="165" fontId="0" fillId="10" borderId="8" xfId="1" applyNumberFormat="1" applyFont="1" applyFill="1" applyBorder="1" applyAlignment="1">
      <alignment horizontal="center" vertical="center"/>
    </xf>
    <xf numFmtId="165" fontId="0" fillId="10" borderId="9" xfId="1" applyNumberFormat="1" applyFont="1" applyFill="1" applyBorder="1" applyAlignment="1">
      <alignment horizontal="center" vertical="center"/>
    </xf>
    <xf numFmtId="0" fontId="0" fillId="6" borderId="0" xfId="0" applyFont="1" applyFill="1" applyBorder="1" applyAlignment="1">
      <alignment horizontal="center" vertical="center"/>
    </xf>
    <xf numFmtId="0" fontId="18" fillId="9" borderId="12" xfId="0" applyFont="1" applyFill="1" applyBorder="1" applyAlignment="1">
      <alignment horizontal="center" vertical="center"/>
    </xf>
    <xf numFmtId="0" fontId="18" fillId="9" borderId="15" xfId="0" applyFont="1" applyFill="1" applyBorder="1" applyAlignment="1">
      <alignment horizontal="left" vertical="center"/>
    </xf>
    <xf numFmtId="165" fontId="18" fillId="9" borderId="15" xfId="1" applyNumberFormat="1" applyFont="1" applyFill="1" applyBorder="1" applyAlignment="1">
      <alignment horizontal="center" vertical="center"/>
    </xf>
    <xf numFmtId="165" fontId="18" fillId="9" borderId="12" xfId="1" applyNumberFormat="1" applyFont="1" applyFill="1" applyBorder="1" applyAlignment="1">
      <alignment horizontal="center" vertical="center"/>
    </xf>
    <xf numFmtId="165" fontId="18" fillId="9" borderId="13" xfId="1" applyNumberFormat="1" applyFont="1" applyFill="1" applyBorder="1" applyAlignment="1">
      <alignment horizontal="center" vertical="center"/>
    </xf>
    <xf numFmtId="0" fontId="10" fillId="6" borderId="0" xfId="0" applyFont="1" applyFill="1" applyBorder="1" applyAlignment="1">
      <alignment horizontal="center" vertical="center"/>
    </xf>
    <xf numFmtId="0" fontId="10" fillId="0" borderId="0" xfId="0" applyFont="1" applyBorder="1" applyAlignment="1">
      <alignment vertical="center"/>
    </xf>
    <xf numFmtId="165" fontId="10" fillId="0" borderId="0" xfId="0" applyNumberFormat="1" applyFont="1" applyBorder="1" applyAlignment="1">
      <alignment vertical="center"/>
    </xf>
    <xf numFmtId="164" fontId="17" fillId="3" borderId="1" xfId="1" applyNumberFormat="1" applyFont="1" applyFill="1" applyBorder="1" applyAlignment="1">
      <alignment horizontal="center" vertical="center"/>
    </xf>
    <xf numFmtId="164" fontId="17" fillId="3" borderId="3" xfId="1" applyNumberFormat="1" applyFont="1" applyFill="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colors>
    <mruColors>
      <color rgb="FFFFF13B"/>
      <color rgb="FFECEADC"/>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425824</xdr:colOff>
      <xdr:row>0</xdr:row>
      <xdr:rowOff>0</xdr:rowOff>
    </xdr:from>
    <xdr:to>
      <xdr:col>7</xdr:col>
      <xdr:colOff>862693</xdr:colOff>
      <xdr:row>2</xdr:row>
      <xdr:rowOff>138633</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92589" y="0"/>
          <a:ext cx="3496075"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381001</xdr:colOff>
      <xdr:row>0</xdr:row>
      <xdr:rowOff>89648</xdr:rowOff>
    </xdr:from>
    <xdr:to>
      <xdr:col>6</xdr:col>
      <xdr:colOff>28016</xdr:colOff>
      <xdr:row>3</xdr:row>
      <xdr:rowOff>53789</xdr:rowOff>
    </xdr:to>
    <xdr:pic>
      <xdr:nvPicPr>
        <xdr:cNvPr id="2" name="Imagen 1">
          <a:extLst>
            <a:ext uri="{FF2B5EF4-FFF2-40B4-BE49-F238E27FC236}">
              <a16:creationId xmlns:a16="http://schemas.microsoft.com/office/drawing/2014/main" id="{A1B79016-BEF9-4E9E-8A3E-474DCDBD31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5089" y="89648"/>
          <a:ext cx="2795868" cy="74855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
  <sheetViews>
    <sheetView tabSelected="1" zoomScale="85" zoomScaleNormal="85" zoomScalePageLayoutView="85" workbookViewId="0">
      <pane ySplit="3" topLeftCell="A4" activePane="bottomLeft" state="frozen"/>
      <selection pane="bottomLeft" activeCell="B3" sqref="B3"/>
    </sheetView>
  </sheetViews>
  <sheetFormatPr baseColWidth="10" defaultColWidth="10.85546875" defaultRowHeight="15" x14ac:dyDescent="0.25"/>
  <cols>
    <col min="1" max="1" width="10.140625" style="9" customWidth="1"/>
    <col min="2" max="2" width="39.28515625" style="9" customWidth="1"/>
    <col min="3" max="8" width="14.7109375" style="9" customWidth="1"/>
    <col min="9" max="9" width="47.28515625" style="57" customWidth="1"/>
    <col min="10" max="10" width="19.42578125" style="37" hidden="1" customWidth="1"/>
    <col min="11" max="16384" width="10.85546875" style="9"/>
  </cols>
  <sheetData>
    <row r="1" spans="1:11" ht="28.5" x14ac:dyDescent="0.25">
      <c r="A1" s="28" t="s">
        <v>50</v>
      </c>
      <c r="B1" s="4"/>
      <c r="C1" s="5"/>
      <c r="D1" s="5"/>
      <c r="E1" s="5"/>
      <c r="G1" s="10"/>
      <c r="H1" s="10"/>
    </row>
    <row r="2" spans="1:11" x14ac:dyDescent="0.25">
      <c r="A2" s="1"/>
      <c r="B2" s="7"/>
      <c r="C2" s="5"/>
      <c r="D2" s="5"/>
      <c r="E2" s="5"/>
      <c r="G2" s="10"/>
      <c r="H2" s="10"/>
    </row>
    <row r="3" spans="1:11" ht="18.75" x14ac:dyDescent="0.25">
      <c r="A3" s="29" t="s">
        <v>49</v>
      </c>
      <c r="B3" s="4"/>
      <c r="G3" s="10"/>
      <c r="H3" s="10"/>
    </row>
    <row r="4" spans="1:11" x14ac:dyDescent="0.25">
      <c r="A4" s="1"/>
      <c r="B4" s="4"/>
      <c r="G4" s="10"/>
      <c r="H4" s="10"/>
    </row>
    <row r="5" spans="1:11" ht="18.75" customHeight="1" x14ac:dyDescent="0.25">
      <c r="A5" s="114" t="s">
        <v>30</v>
      </c>
      <c r="B5" s="114"/>
      <c r="C5" s="114"/>
      <c r="D5" s="114"/>
      <c r="E5" s="114"/>
      <c r="F5" s="114"/>
      <c r="G5" s="114"/>
      <c r="H5" s="114"/>
      <c r="J5" s="38"/>
      <c r="K5" s="2"/>
    </row>
    <row r="6" spans="1:11" ht="18.75" customHeight="1" thickBot="1" x14ac:dyDescent="0.3">
      <c r="A6" s="14"/>
      <c r="B6" s="14"/>
      <c r="C6" s="14"/>
      <c r="D6" s="14"/>
      <c r="E6" s="14"/>
      <c r="F6" s="14"/>
      <c r="G6" s="14"/>
      <c r="H6" s="14"/>
      <c r="I6" s="60"/>
      <c r="J6" s="38" t="s">
        <v>60</v>
      </c>
      <c r="K6" s="2"/>
    </row>
    <row r="7" spans="1:11" ht="54" customHeight="1" thickBot="1" x14ac:dyDescent="0.3">
      <c r="A7" s="115" t="s">
        <v>184</v>
      </c>
      <c r="B7" s="116"/>
      <c r="C7" s="117" t="s">
        <v>143</v>
      </c>
      <c r="D7" s="117"/>
      <c r="E7" s="117"/>
      <c r="F7" s="117"/>
      <c r="G7" s="117"/>
      <c r="H7" s="118"/>
      <c r="J7" s="38" t="s">
        <v>56</v>
      </c>
      <c r="K7" s="2"/>
    </row>
    <row r="8" spans="1:11" ht="18" customHeight="1" thickBot="1" x14ac:dyDescent="0.3">
      <c r="A8" s="115" t="s">
        <v>42</v>
      </c>
      <c r="B8" s="116"/>
      <c r="C8" s="119" t="s">
        <v>99</v>
      </c>
      <c r="D8" s="119"/>
      <c r="E8" s="119"/>
      <c r="F8" s="119"/>
      <c r="G8" s="119"/>
      <c r="H8" s="120"/>
      <c r="J8" s="38" t="s">
        <v>62</v>
      </c>
      <c r="K8" s="2"/>
    </row>
    <row r="9" spans="1:11" ht="18" customHeight="1" thickBot="1" x14ac:dyDescent="0.3">
      <c r="A9" s="19" t="s">
        <v>43</v>
      </c>
      <c r="B9" s="20"/>
      <c r="C9" s="16"/>
      <c r="D9" s="16"/>
      <c r="E9" s="74" t="s">
        <v>29</v>
      </c>
      <c r="F9" s="17" t="s">
        <v>100</v>
      </c>
      <c r="G9" s="17"/>
      <c r="H9" s="18"/>
      <c r="J9" s="38" t="s">
        <v>61</v>
      </c>
      <c r="K9" s="2"/>
    </row>
    <row r="10" spans="1:11" ht="18" customHeight="1" thickBot="1" x14ac:dyDescent="0.3">
      <c r="A10" s="15"/>
      <c r="B10" s="15"/>
      <c r="E10" s="7"/>
      <c r="F10" s="7"/>
      <c r="G10" s="7"/>
      <c r="H10" s="7"/>
      <c r="J10" s="38" t="s">
        <v>65</v>
      </c>
      <c r="K10" s="2"/>
    </row>
    <row r="11" spans="1:11" ht="16.5" thickBot="1" x14ac:dyDescent="0.3">
      <c r="A11" s="115" t="s">
        <v>32</v>
      </c>
      <c r="B11" s="116"/>
      <c r="C11" s="116"/>
      <c r="D11" s="116"/>
      <c r="E11" s="116"/>
      <c r="F11" s="116"/>
      <c r="G11" s="121" t="s">
        <v>61</v>
      </c>
      <c r="H11" s="122"/>
      <c r="J11" s="38" t="s">
        <v>58</v>
      </c>
    </row>
    <row r="12" spans="1:11" s="3" customFormat="1" ht="16.5" thickBot="1" x14ac:dyDescent="0.3">
      <c r="A12" s="123" t="s">
        <v>31</v>
      </c>
      <c r="B12" s="124"/>
      <c r="C12" s="211">
        <v>85000</v>
      </c>
      <c r="D12" s="210"/>
      <c r="E12" s="123" t="s">
        <v>44</v>
      </c>
      <c r="F12" s="124"/>
      <c r="G12" s="125">
        <v>0</v>
      </c>
      <c r="H12" s="126"/>
      <c r="I12" s="57"/>
      <c r="J12" s="39" t="s">
        <v>59</v>
      </c>
    </row>
    <row r="13" spans="1:11" x14ac:dyDescent="0.25">
      <c r="A13" s="13"/>
      <c r="B13" s="13"/>
      <c r="C13" s="12"/>
      <c r="D13" s="12"/>
      <c r="E13" s="12"/>
      <c r="F13" s="12"/>
      <c r="G13" s="12"/>
      <c r="H13" s="12"/>
      <c r="I13" s="12"/>
      <c r="J13" s="40" t="s">
        <v>57</v>
      </c>
      <c r="K13" s="3"/>
    </row>
    <row r="14" spans="1:11" ht="18.75" x14ac:dyDescent="0.25">
      <c r="A14" s="114" t="s">
        <v>4</v>
      </c>
      <c r="B14" s="114"/>
      <c r="C14" s="114"/>
      <c r="D14" s="114"/>
      <c r="E14" s="114"/>
      <c r="F14" s="114"/>
      <c r="G14" s="114" t="s">
        <v>27</v>
      </c>
      <c r="H14" s="114"/>
      <c r="I14" s="61" t="s">
        <v>70</v>
      </c>
      <c r="J14" s="40"/>
    </row>
    <row r="15" spans="1:11" x14ac:dyDescent="0.25">
      <c r="A15" s="6" t="s">
        <v>8</v>
      </c>
      <c r="B15" s="6" t="s">
        <v>2</v>
      </c>
      <c r="C15" s="6" t="s">
        <v>45</v>
      </c>
      <c r="D15" s="6" t="s">
        <v>3</v>
      </c>
      <c r="E15" s="6" t="s">
        <v>33</v>
      </c>
      <c r="F15" s="6" t="s">
        <v>1</v>
      </c>
      <c r="G15" s="21" t="s">
        <v>41</v>
      </c>
      <c r="H15" s="21" t="s">
        <v>48</v>
      </c>
      <c r="I15" s="62"/>
    </row>
    <row r="16" spans="1:11" ht="14.45" customHeight="1" x14ac:dyDescent="0.25">
      <c r="A16" s="63" t="s">
        <v>13</v>
      </c>
      <c r="B16" s="9" t="s">
        <v>144</v>
      </c>
      <c r="C16" s="63">
        <v>1</v>
      </c>
      <c r="D16" s="111" t="s">
        <v>3</v>
      </c>
      <c r="E16" s="32">
        <v>2500</v>
      </c>
      <c r="F16" s="32">
        <f t="shared" ref="F16:F21" si="0">C16*E16</f>
        <v>2500</v>
      </c>
      <c r="G16" s="26">
        <v>10</v>
      </c>
      <c r="H16" s="30">
        <f>1/G16*F16</f>
        <v>250</v>
      </c>
      <c r="I16" s="53" t="s">
        <v>103</v>
      </c>
      <c r="J16" s="40"/>
    </row>
    <row r="17" spans="1:10" ht="14.45" customHeight="1" x14ac:dyDescent="0.25">
      <c r="A17" s="75" t="s">
        <v>14</v>
      </c>
      <c r="B17" s="9" t="s">
        <v>145</v>
      </c>
      <c r="C17" s="75">
        <v>1</v>
      </c>
      <c r="D17" s="111" t="s">
        <v>3</v>
      </c>
      <c r="E17" s="32">
        <v>2200</v>
      </c>
      <c r="F17" s="32">
        <f t="shared" si="0"/>
        <v>2200</v>
      </c>
      <c r="G17" s="26">
        <v>10</v>
      </c>
      <c r="H17" s="30">
        <f>1/G17*F17</f>
        <v>220</v>
      </c>
      <c r="I17" s="53" t="s">
        <v>119</v>
      </c>
      <c r="J17" s="40"/>
    </row>
    <row r="18" spans="1:10" ht="14.45" customHeight="1" x14ac:dyDescent="0.25">
      <c r="A18" s="75" t="s">
        <v>15</v>
      </c>
      <c r="B18" s="9" t="s">
        <v>153</v>
      </c>
      <c r="C18" s="45">
        <v>1</v>
      </c>
      <c r="D18" s="111" t="s">
        <v>79</v>
      </c>
      <c r="E18" s="32">
        <v>500</v>
      </c>
      <c r="F18" s="32">
        <f t="shared" si="0"/>
        <v>500</v>
      </c>
      <c r="G18" s="26">
        <v>10</v>
      </c>
      <c r="H18" s="30">
        <f>1/G18*F18</f>
        <v>50</v>
      </c>
      <c r="I18" s="53" t="s">
        <v>101</v>
      </c>
      <c r="J18" s="40"/>
    </row>
    <row r="19" spans="1:10" ht="30" x14ac:dyDescent="0.25">
      <c r="A19" s="75" t="s">
        <v>16</v>
      </c>
      <c r="B19" s="70" t="s">
        <v>152</v>
      </c>
      <c r="C19" s="63">
        <v>1</v>
      </c>
      <c r="D19" s="111" t="s">
        <v>79</v>
      </c>
      <c r="E19" s="32">
        <f>1500+100*2+120+250*2</f>
        <v>2320</v>
      </c>
      <c r="F19" s="32">
        <f t="shared" si="0"/>
        <v>2320</v>
      </c>
      <c r="G19" s="26">
        <v>10</v>
      </c>
      <c r="H19" s="30">
        <f t="shared" ref="H19:H20" si="1">1/G19*F19</f>
        <v>232</v>
      </c>
      <c r="I19" s="53" t="s">
        <v>121</v>
      </c>
      <c r="J19" s="40"/>
    </row>
    <row r="20" spans="1:10" s="11" customFormat="1" ht="30" x14ac:dyDescent="0.25">
      <c r="A20" s="75" t="s">
        <v>17</v>
      </c>
      <c r="B20" s="65" t="s">
        <v>80</v>
      </c>
      <c r="C20" s="48">
        <v>1</v>
      </c>
      <c r="D20" s="48" t="s">
        <v>3</v>
      </c>
      <c r="E20" s="64">
        <v>54000</v>
      </c>
      <c r="F20" s="32">
        <f t="shared" si="0"/>
        <v>54000</v>
      </c>
      <c r="G20" s="26">
        <v>5</v>
      </c>
      <c r="H20" s="30">
        <f t="shared" si="1"/>
        <v>10800</v>
      </c>
      <c r="I20" s="53" t="s">
        <v>81</v>
      </c>
      <c r="J20" s="41"/>
    </row>
    <row r="21" spans="1:10" s="11" customFormat="1" ht="30" x14ac:dyDescent="0.25">
      <c r="A21" s="75" t="s">
        <v>120</v>
      </c>
      <c r="B21" s="65" t="s">
        <v>82</v>
      </c>
      <c r="C21" s="48">
        <v>1</v>
      </c>
      <c r="D21" s="48" t="s">
        <v>79</v>
      </c>
      <c r="E21" s="64">
        <v>2000</v>
      </c>
      <c r="F21" s="32">
        <f t="shared" si="0"/>
        <v>2000</v>
      </c>
      <c r="G21" s="26"/>
      <c r="H21" s="30"/>
      <c r="I21" s="53"/>
      <c r="J21" s="41"/>
    </row>
    <row r="22" spans="1:10" x14ac:dyDescent="0.25">
      <c r="A22" s="49"/>
      <c r="B22" s="46"/>
      <c r="C22" s="49"/>
      <c r="D22" s="111"/>
      <c r="E22" s="32"/>
      <c r="F22" s="32"/>
      <c r="G22" s="26"/>
      <c r="H22" s="30"/>
      <c r="I22" s="53"/>
    </row>
    <row r="23" spans="1:10" s="7" customFormat="1" x14ac:dyDescent="0.25">
      <c r="A23" s="27" t="s">
        <v>9</v>
      </c>
      <c r="B23" s="113" t="s">
        <v>0</v>
      </c>
      <c r="C23" s="113"/>
      <c r="D23" s="113"/>
      <c r="E23" s="113"/>
      <c r="F23" s="31">
        <f>SUM(F16:F22)</f>
        <v>63520</v>
      </c>
      <c r="G23" s="22"/>
      <c r="H23" s="31">
        <f>SUM(H16:H22)</f>
        <v>11552</v>
      </c>
      <c r="I23" s="54"/>
      <c r="J23" s="39"/>
    </row>
    <row r="24" spans="1:10" x14ac:dyDescent="0.25">
      <c r="A24" s="7"/>
    </row>
    <row r="25" spans="1:10" s="139" customFormat="1" x14ac:dyDescent="0.25">
      <c r="A25" s="140"/>
      <c r="B25" s="141" t="s">
        <v>155</v>
      </c>
      <c r="C25" s="136"/>
      <c r="D25" s="136"/>
      <c r="E25" s="142"/>
      <c r="F25" s="142"/>
      <c r="G25" s="136"/>
      <c r="H25" s="136"/>
      <c r="I25" s="137"/>
      <c r="J25" s="138"/>
    </row>
    <row r="26" spans="1:10" s="70" customFormat="1" ht="14.45" customHeight="1" x14ac:dyDescent="0.25">
      <c r="A26" s="143" t="s">
        <v>13</v>
      </c>
      <c r="B26" s="70" t="s">
        <v>156</v>
      </c>
      <c r="C26" s="143">
        <v>1</v>
      </c>
      <c r="D26" s="143" t="s">
        <v>157</v>
      </c>
      <c r="E26" s="144">
        <v>2500</v>
      </c>
      <c r="F26" s="144">
        <f>C26*E26</f>
        <v>2500</v>
      </c>
      <c r="G26" s="145">
        <v>10</v>
      </c>
      <c r="H26" s="146">
        <f>1/G26*F26</f>
        <v>250</v>
      </c>
      <c r="I26" s="147"/>
      <c r="J26" s="38"/>
    </row>
    <row r="27" spans="1:10" s="70" customFormat="1" ht="14.45" customHeight="1" x14ac:dyDescent="0.25">
      <c r="A27" s="143" t="s">
        <v>14</v>
      </c>
      <c r="B27" s="70" t="s">
        <v>158</v>
      </c>
      <c r="C27" s="143">
        <v>1</v>
      </c>
      <c r="D27" s="148" t="s">
        <v>79</v>
      </c>
      <c r="E27" s="144">
        <v>3000</v>
      </c>
      <c r="F27" s="144">
        <f>C27*E27</f>
        <v>3000</v>
      </c>
      <c r="G27" s="145">
        <v>10</v>
      </c>
      <c r="H27" s="146">
        <f>1/G27*F27</f>
        <v>300</v>
      </c>
      <c r="I27" s="147" t="s">
        <v>159</v>
      </c>
      <c r="J27" s="38"/>
    </row>
    <row r="28" spans="1:10" s="90" customFormat="1" x14ac:dyDescent="0.25">
      <c r="A28" s="143" t="s">
        <v>15</v>
      </c>
      <c r="B28" s="65" t="s">
        <v>162</v>
      </c>
      <c r="C28" s="148">
        <v>1</v>
      </c>
      <c r="D28" s="143" t="s">
        <v>157</v>
      </c>
      <c r="E28" s="149">
        <v>6000</v>
      </c>
      <c r="F28" s="144">
        <f>C28*E28</f>
        <v>6000</v>
      </c>
      <c r="G28" s="145">
        <v>10</v>
      </c>
      <c r="H28" s="146">
        <f t="shared" ref="H28:H30" si="2">1/G28*F28</f>
        <v>600</v>
      </c>
      <c r="I28" s="147"/>
      <c r="J28" s="150"/>
    </row>
    <row r="29" spans="1:10" s="70" customFormat="1" x14ac:dyDescent="0.25">
      <c r="A29" s="143" t="s">
        <v>16</v>
      </c>
      <c r="B29" s="70" t="s">
        <v>163</v>
      </c>
      <c r="C29" s="143">
        <v>1</v>
      </c>
      <c r="D29" s="143" t="s">
        <v>157</v>
      </c>
      <c r="E29" s="144">
        <v>3000</v>
      </c>
      <c r="F29" s="144">
        <f>C29*E29</f>
        <v>3000</v>
      </c>
      <c r="G29" s="145">
        <v>10</v>
      </c>
      <c r="H29" s="146">
        <f t="shared" si="2"/>
        <v>300</v>
      </c>
      <c r="I29" s="147"/>
      <c r="J29" s="38"/>
    </row>
    <row r="30" spans="1:10" s="70" customFormat="1" x14ac:dyDescent="0.25">
      <c r="A30" s="143" t="s">
        <v>17</v>
      </c>
      <c r="B30" s="70" t="s">
        <v>160</v>
      </c>
      <c r="C30" s="143">
        <v>1</v>
      </c>
      <c r="D30" s="143" t="s">
        <v>79</v>
      </c>
      <c r="E30" s="144">
        <v>5000</v>
      </c>
      <c r="F30" s="144">
        <f>C30*E30</f>
        <v>5000</v>
      </c>
      <c r="G30" s="145">
        <v>10</v>
      </c>
      <c r="H30" s="146">
        <f t="shared" si="2"/>
        <v>500</v>
      </c>
      <c r="I30" s="147"/>
      <c r="J30" s="38"/>
    </row>
    <row r="31" spans="1:10" s="70" customFormat="1" x14ac:dyDescent="0.25">
      <c r="A31" s="143"/>
      <c r="B31" s="46"/>
      <c r="C31" s="143"/>
      <c r="D31" s="143"/>
      <c r="E31" s="144"/>
      <c r="F31" s="144"/>
      <c r="G31" s="145"/>
      <c r="H31" s="146"/>
      <c r="I31" s="147"/>
      <c r="J31" s="151"/>
    </row>
    <row r="32" spans="1:10" s="7" customFormat="1" x14ac:dyDescent="0.25">
      <c r="A32" s="110" t="s">
        <v>9</v>
      </c>
      <c r="B32" s="113" t="s">
        <v>161</v>
      </c>
      <c r="C32" s="113"/>
      <c r="D32" s="113"/>
      <c r="E32" s="113"/>
      <c r="F32" s="31">
        <f>SUM(F26:F31)</f>
        <v>19500</v>
      </c>
      <c r="G32" s="22"/>
      <c r="H32" s="31">
        <f>SUM(H26:H31)</f>
        <v>1950</v>
      </c>
      <c r="I32" s="54"/>
      <c r="J32" s="39"/>
    </row>
    <row r="46" spans="1:2" x14ac:dyDescent="0.25">
      <c r="A46" s="11"/>
      <c r="B46" s="11"/>
    </row>
    <row r="47" spans="1:2" x14ac:dyDescent="0.25">
      <c r="A47" s="11"/>
      <c r="B47" s="11"/>
    </row>
    <row r="48" spans="1:2" x14ac:dyDescent="0.25">
      <c r="A48" s="11"/>
      <c r="B48" s="11"/>
    </row>
    <row r="49" spans="1:2" x14ac:dyDescent="0.25">
      <c r="A49" s="11"/>
      <c r="B49" s="11"/>
    </row>
    <row r="50" spans="1:2" x14ac:dyDescent="0.25">
      <c r="A50" s="11"/>
      <c r="B50" s="11"/>
    </row>
    <row r="51" spans="1:2" x14ac:dyDescent="0.25">
      <c r="B51" s="11"/>
    </row>
  </sheetData>
  <mergeCells count="15">
    <mergeCell ref="B32:E32"/>
    <mergeCell ref="C12:D12"/>
    <mergeCell ref="B23:E23"/>
    <mergeCell ref="A5:H5"/>
    <mergeCell ref="A7:B7"/>
    <mergeCell ref="C7:H7"/>
    <mergeCell ref="A8:B8"/>
    <mergeCell ref="C8:H8"/>
    <mergeCell ref="A11:F11"/>
    <mergeCell ref="G11:H11"/>
    <mergeCell ref="A12:B12"/>
    <mergeCell ref="E12:F12"/>
    <mergeCell ref="G12:H12"/>
    <mergeCell ref="A14:F14"/>
    <mergeCell ref="G14:H14"/>
  </mergeCells>
  <dataValidations disablePrompts="1" count="1">
    <dataValidation type="list" allowBlank="1" showInputMessage="1" showErrorMessage="1" sqref="G11:H11" xr:uid="{00000000-0002-0000-0000-000000000000}">
      <formula1>$J$7:$J$15</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85"/>
  <sheetViews>
    <sheetView zoomScale="85" zoomScaleNormal="85" zoomScalePageLayoutView="85" workbookViewId="0">
      <pane ySplit="6" topLeftCell="A59" activePane="bottomLeft" state="frozen"/>
      <selection pane="bottomLeft" activeCell="B70" sqref="B70:F70"/>
    </sheetView>
  </sheetViews>
  <sheetFormatPr baseColWidth="10" defaultColWidth="10.85546875" defaultRowHeight="15" x14ac:dyDescent="0.25"/>
  <cols>
    <col min="1" max="1" width="10.140625" style="9" customWidth="1"/>
    <col min="2" max="2" width="42.7109375" style="9" customWidth="1"/>
    <col min="3" max="6" width="14.7109375" style="9" customWidth="1"/>
    <col min="7" max="7" width="16.28515625" style="9" customWidth="1"/>
    <col min="8" max="9" width="14.7109375" style="9" customWidth="1"/>
    <col min="10" max="10" width="3.42578125" style="11" customWidth="1"/>
    <col min="11" max="13" width="14.7109375" style="36" customWidth="1"/>
    <col min="14" max="14" width="42.28515625" style="50" customWidth="1"/>
    <col min="15" max="15" width="19.7109375" style="9" customWidth="1"/>
    <col min="16" max="16384" width="10.85546875" style="9"/>
  </cols>
  <sheetData>
    <row r="1" spans="1:15" ht="28.5" x14ac:dyDescent="0.25">
      <c r="A1" s="28" t="s">
        <v>40</v>
      </c>
      <c r="B1" s="4"/>
      <c r="C1" s="5"/>
      <c r="D1" s="5"/>
      <c r="F1" s="10"/>
      <c r="G1" s="10"/>
      <c r="H1" s="49"/>
      <c r="I1" s="111"/>
      <c r="J1" s="48"/>
      <c r="K1" s="32"/>
      <c r="L1" s="32"/>
      <c r="M1" s="32"/>
    </row>
    <row r="2" spans="1:15" x14ac:dyDescent="0.25">
      <c r="A2" s="1"/>
      <c r="B2" s="7"/>
      <c r="C2" s="5"/>
      <c r="D2" s="5"/>
      <c r="F2" s="10"/>
      <c r="G2" s="10"/>
      <c r="H2" s="49"/>
      <c r="I2" s="111"/>
      <c r="J2" s="48"/>
      <c r="K2" s="32"/>
      <c r="L2" s="32"/>
      <c r="M2" s="32"/>
    </row>
    <row r="3" spans="1:15" ht="18.75" x14ac:dyDescent="0.25">
      <c r="A3" s="29" t="s">
        <v>51</v>
      </c>
      <c r="B3" s="4"/>
      <c r="F3" s="10"/>
      <c r="G3" s="10"/>
      <c r="H3" s="49"/>
      <c r="I3" s="111"/>
      <c r="J3" s="48"/>
      <c r="K3" s="32"/>
      <c r="L3" s="32"/>
      <c r="M3" s="32"/>
    </row>
    <row r="4" spans="1:15" ht="46.5" customHeight="1" x14ac:dyDescent="0.25">
      <c r="A4" s="152" t="s">
        <v>189</v>
      </c>
      <c r="B4" s="152"/>
      <c r="C4" s="152"/>
      <c r="D4" s="152"/>
      <c r="E4" s="152"/>
      <c r="F4" s="152"/>
      <c r="G4" s="152"/>
      <c r="H4" s="152"/>
      <c r="I4" s="152"/>
      <c r="J4" s="152"/>
      <c r="K4" s="152"/>
      <c r="L4" s="152"/>
      <c r="M4" s="152"/>
      <c r="N4" s="152"/>
      <c r="O4" s="50"/>
    </row>
    <row r="5" spans="1:15" ht="5.25" customHeight="1" thickBot="1" x14ac:dyDescent="0.3">
      <c r="A5" s="1"/>
      <c r="B5" s="4"/>
      <c r="F5" s="10"/>
      <c r="G5" s="10"/>
      <c r="H5" s="49"/>
      <c r="I5" s="111"/>
      <c r="J5" s="48"/>
      <c r="K5" s="32"/>
      <c r="L5" s="32"/>
      <c r="M5" s="32"/>
    </row>
    <row r="6" spans="1:15" ht="16.5" thickBot="1" x14ac:dyDescent="0.3">
      <c r="A6" s="115" t="s">
        <v>32</v>
      </c>
      <c r="B6" s="116"/>
      <c r="C6" s="116"/>
      <c r="D6" s="116"/>
      <c r="E6" s="116"/>
      <c r="F6" s="121" t="s">
        <v>61</v>
      </c>
      <c r="G6" s="122"/>
      <c r="H6" s="49"/>
      <c r="I6" s="111"/>
      <c r="K6" s="33" t="s">
        <v>55</v>
      </c>
      <c r="L6" s="33"/>
      <c r="M6" s="33">
        <f>IF(F6="hebdomadaire",52,IF(F6="quincénaire",26,IF(F6="mensuel",12,IF(F6="trimestrielle (3mois)",4,IF(F6="semestre (6mois)",2,IF(F6="annuel",1,IF(F6="bimensuel (2mois)",6,1)))))))</f>
        <v>12</v>
      </c>
    </row>
    <row r="7" spans="1:15" ht="15.75" thickBot="1" x14ac:dyDescent="0.3">
      <c r="A7" s="1"/>
      <c r="B7" s="4"/>
      <c r="F7" s="10"/>
      <c r="G7" s="10"/>
      <c r="H7" s="49"/>
      <c r="I7" s="111"/>
      <c r="J7" s="48"/>
      <c r="K7" s="32"/>
      <c r="L7" s="32"/>
      <c r="M7" s="32"/>
    </row>
    <row r="8" spans="1:15" ht="18.75" x14ac:dyDescent="0.25">
      <c r="A8" s="114" t="s">
        <v>34</v>
      </c>
      <c r="B8" s="114"/>
      <c r="C8" s="114"/>
      <c r="D8" s="114"/>
      <c r="E8" s="114"/>
      <c r="F8" s="114"/>
      <c r="G8" s="114"/>
      <c r="H8" s="164" t="s">
        <v>72</v>
      </c>
      <c r="I8" s="165"/>
      <c r="J8" s="48"/>
      <c r="K8" s="34" t="s">
        <v>53</v>
      </c>
      <c r="L8" s="34" t="s">
        <v>52</v>
      </c>
      <c r="M8" s="34" t="s">
        <v>54</v>
      </c>
      <c r="N8" s="51" t="s">
        <v>70</v>
      </c>
      <c r="O8" s="44"/>
    </row>
    <row r="9" spans="1:15" ht="14.45" customHeight="1" x14ac:dyDescent="0.25">
      <c r="A9" s="6" t="s">
        <v>10</v>
      </c>
      <c r="B9" s="25" t="s">
        <v>28</v>
      </c>
      <c r="C9" s="6" t="s">
        <v>45</v>
      </c>
      <c r="D9" s="6" t="s">
        <v>3</v>
      </c>
      <c r="E9" s="6" t="s">
        <v>33</v>
      </c>
      <c r="F9" s="6" t="s">
        <v>3</v>
      </c>
      <c r="G9" s="6" t="s">
        <v>74</v>
      </c>
      <c r="H9" s="166" t="s">
        <v>73</v>
      </c>
      <c r="I9" s="163" t="s">
        <v>3</v>
      </c>
      <c r="J9" s="48"/>
      <c r="K9" s="35" t="s">
        <v>1</v>
      </c>
      <c r="L9" s="35" t="s">
        <v>1</v>
      </c>
      <c r="M9" s="35" t="s">
        <v>1</v>
      </c>
      <c r="N9" s="52"/>
    </row>
    <row r="10" spans="1:15" x14ac:dyDescent="0.25">
      <c r="A10" s="23"/>
      <c r="B10" s="24" t="s">
        <v>5</v>
      </c>
      <c r="C10" s="21"/>
      <c r="D10" s="21"/>
      <c r="E10" s="26"/>
      <c r="F10" s="26"/>
      <c r="G10" s="26"/>
      <c r="H10" s="153"/>
      <c r="I10" s="154"/>
      <c r="J10" s="48"/>
      <c r="K10" s="30"/>
      <c r="L10" s="30"/>
      <c r="M10" s="30"/>
      <c r="N10" s="53"/>
      <c r="O10" s="2"/>
    </row>
    <row r="11" spans="1:15" x14ac:dyDescent="0.25">
      <c r="A11" s="10" t="s">
        <v>18</v>
      </c>
      <c r="B11" s="9" t="s">
        <v>37</v>
      </c>
      <c r="C11" s="48">
        <v>1</v>
      </c>
      <c r="D11" s="10" t="s">
        <v>37</v>
      </c>
      <c r="E11" s="32">
        <v>1000</v>
      </c>
      <c r="F11" s="63" t="s">
        <v>76</v>
      </c>
      <c r="G11" s="32">
        <f>C11*E11</f>
        <v>1000</v>
      </c>
      <c r="H11" s="167">
        <f>G11</f>
        <v>1000</v>
      </c>
      <c r="I11" s="168" t="s">
        <v>76</v>
      </c>
      <c r="J11" s="48"/>
      <c r="K11" s="32">
        <f>H11*$M$6</f>
        <v>12000</v>
      </c>
      <c r="L11" s="32">
        <f>K11</f>
        <v>12000</v>
      </c>
      <c r="M11" s="32">
        <f>L11</f>
        <v>12000</v>
      </c>
      <c r="O11" s="2"/>
    </row>
    <row r="12" spans="1:15" x14ac:dyDescent="0.25">
      <c r="A12" s="63" t="s">
        <v>19</v>
      </c>
      <c r="B12" s="9" t="s">
        <v>168</v>
      </c>
      <c r="C12" s="48">
        <v>4</v>
      </c>
      <c r="D12" s="63" t="s">
        <v>37</v>
      </c>
      <c r="E12" s="32">
        <v>175</v>
      </c>
      <c r="F12" s="63" t="s">
        <v>76</v>
      </c>
      <c r="G12" s="32">
        <f t="shared" ref="G12" si="0">C12*E12</f>
        <v>700</v>
      </c>
      <c r="H12" s="167">
        <f t="shared" ref="H12" si="1">G12</f>
        <v>700</v>
      </c>
      <c r="I12" s="168" t="s">
        <v>76</v>
      </c>
      <c r="J12" s="48"/>
      <c r="K12" s="32">
        <f t="shared" ref="K12" si="2">H12*$M$6</f>
        <v>8400</v>
      </c>
      <c r="L12" s="32">
        <v>0</v>
      </c>
      <c r="M12" s="32">
        <v>0</v>
      </c>
      <c r="N12" s="50" t="s">
        <v>169</v>
      </c>
      <c r="O12" s="2"/>
    </row>
    <row r="13" spans="1:15" x14ac:dyDescent="0.25">
      <c r="A13" s="10" t="s">
        <v>19</v>
      </c>
      <c r="B13" s="9" t="s">
        <v>71</v>
      </c>
      <c r="C13" s="76">
        <f>1/6</f>
        <v>0.16666666666666666</v>
      </c>
      <c r="D13" s="10" t="s">
        <v>71</v>
      </c>
      <c r="E13" s="32">
        <v>1500</v>
      </c>
      <c r="F13" s="63" t="s">
        <v>76</v>
      </c>
      <c r="G13" s="32">
        <f t="shared" ref="G13" si="3">C13*E13</f>
        <v>250</v>
      </c>
      <c r="H13" s="167">
        <f t="shared" ref="H13" si="4">G13</f>
        <v>250</v>
      </c>
      <c r="I13" s="168" t="s">
        <v>76</v>
      </c>
      <c r="J13" s="48"/>
      <c r="K13" s="32">
        <f t="shared" ref="K13:K18" si="5">H13*$M$6</f>
        <v>3000</v>
      </c>
      <c r="L13" s="32">
        <f t="shared" ref="L13:M14" si="6">K13</f>
        <v>3000</v>
      </c>
      <c r="M13" s="32">
        <f t="shared" si="6"/>
        <v>3000</v>
      </c>
      <c r="N13" s="50" t="s">
        <v>170</v>
      </c>
      <c r="O13" s="2"/>
    </row>
    <row r="14" spans="1:15" x14ac:dyDescent="0.25">
      <c r="A14" s="10"/>
      <c r="C14" s="10"/>
      <c r="D14" s="10"/>
      <c r="E14" s="32"/>
      <c r="F14" s="49"/>
      <c r="G14" s="32"/>
      <c r="H14" s="167"/>
      <c r="I14" s="168"/>
      <c r="J14" s="48"/>
      <c r="K14" s="32">
        <f t="shared" si="5"/>
        <v>0</v>
      </c>
      <c r="L14" s="32">
        <f t="shared" si="6"/>
        <v>0</v>
      </c>
      <c r="M14" s="32">
        <f t="shared" si="6"/>
        <v>0</v>
      </c>
      <c r="O14" s="2"/>
    </row>
    <row r="15" spans="1:15" x14ac:dyDescent="0.25">
      <c r="A15" s="23"/>
      <c r="B15" s="24" t="s">
        <v>6</v>
      </c>
      <c r="C15" s="21"/>
      <c r="D15" s="21"/>
      <c r="E15" s="26"/>
      <c r="F15" s="26"/>
      <c r="G15" s="66" t="s">
        <v>88</v>
      </c>
      <c r="H15" s="169" t="s">
        <v>89</v>
      </c>
      <c r="I15" s="170"/>
      <c r="J15" s="48"/>
      <c r="K15" s="58"/>
      <c r="L15" s="30"/>
      <c r="M15" s="30"/>
      <c r="N15" s="53"/>
    </row>
    <row r="16" spans="1:15" x14ac:dyDescent="0.25">
      <c r="A16" s="47" t="s">
        <v>20</v>
      </c>
      <c r="B16" s="9" t="s">
        <v>66</v>
      </c>
      <c r="C16" s="10">
        <v>100</v>
      </c>
      <c r="D16" s="10" t="s">
        <v>77</v>
      </c>
      <c r="E16" s="32">
        <f>1500/50</f>
        <v>30</v>
      </c>
      <c r="F16" s="63" t="s">
        <v>76</v>
      </c>
      <c r="G16" s="32">
        <f>C16*E16</f>
        <v>3000</v>
      </c>
      <c r="H16" s="167">
        <f>G16*52/12</f>
        <v>13000</v>
      </c>
      <c r="I16" s="168" t="s">
        <v>76</v>
      </c>
      <c r="J16" s="48"/>
      <c r="K16" s="32">
        <f>H16*$M$6</f>
        <v>156000</v>
      </c>
      <c r="L16" s="32">
        <f>K16</f>
        <v>156000</v>
      </c>
      <c r="M16" s="32">
        <f>L16</f>
        <v>156000</v>
      </c>
      <c r="N16" s="50" t="s">
        <v>102</v>
      </c>
    </row>
    <row r="17" spans="1:17" x14ac:dyDescent="0.25">
      <c r="A17" s="63" t="s">
        <v>21</v>
      </c>
      <c r="B17" s="9" t="s">
        <v>67</v>
      </c>
      <c r="C17" s="49">
        <f>C16</f>
        <v>100</v>
      </c>
      <c r="D17" s="63" t="s">
        <v>77</v>
      </c>
      <c r="E17" s="32">
        <v>25</v>
      </c>
      <c r="F17" s="63" t="s">
        <v>76</v>
      </c>
      <c r="G17" s="32">
        <f t="shared" ref="G17" si="7">C17*E17</f>
        <v>2500</v>
      </c>
      <c r="H17" s="167">
        <f t="shared" ref="H17:H29" si="8">G17*52/12</f>
        <v>10833.333333333334</v>
      </c>
      <c r="I17" s="168" t="s">
        <v>76</v>
      </c>
      <c r="J17" s="48"/>
      <c r="K17" s="32">
        <f t="shared" si="5"/>
        <v>130000</v>
      </c>
      <c r="L17" s="32">
        <f t="shared" ref="L17:M19" si="9">K17</f>
        <v>130000</v>
      </c>
      <c r="M17" s="32">
        <f t="shared" si="9"/>
        <v>130000</v>
      </c>
    </row>
    <row r="18" spans="1:17" x14ac:dyDescent="0.25">
      <c r="A18" s="63" t="s">
        <v>22</v>
      </c>
      <c r="B18" s="9" t="s">
        <v>38</v>
      </c>
      <c r="C18" s="59">
        <v>1</v>
      </c>
      <c r="D18" s="49" t="s">
        <v>78</v>
      </c>
      <c r="E18" s="32">
        <f>1000+300+300+500</f>
        <v>2100</v>
      </c>
      <c r="F18" s="63" t="s">
        <v>76</v>
      </c>
      <c r="G18" s="32">
        <f t="shared" ref="G18:G19" si="10">C18*E18</f>
        <v>2100</v>
      </c>
      <c r="H18" s="167">
        <f t="shared" si="8"/>
        <v>9100</v>
      </c>
      <c r="I18" s="168" t="s">
        <v>76</v>
      </c>
      <c r="J18" s="48"/>
      <c r="K18" s="32">
        <f t="shared" si="5"/>
        <v>109200</v>
      </c>
      <c r="L18" s="32">
        <f t="shared" si="9"/>
        <v>109200</v>
      </c>
      <c r="M18" s="32">
        <f t="shared" si="9"/>
        <v>109200</v>
      </c>
      <c r="N18" s="50" t="s">
        <v>171</v>
      </c>
      <c r="O18" s="2"/>
    </row>
    <row r="19" spans="1:17" x14ac:dyDescent="0.25">
      <c r="A19" s="63" t="s">
        <v>69</v>
      </c>
      <c r="B19" s="9" t="s">
        <v>75</v>
      </c>
      <c r="C19" s="49">
        <v>1</v>
      </c>
      <c r="D19" s="49" t="s">
        <v>79</v>
      </c>
      <c r="E19" s="64">
        <f>ROUNDUP(SUM(C38:C39)/2,-1)</f>
        <v>100</v>
      </c>
      <c r="F19" s="63" t="s">
        <v>76</v>
      </c>
      <c r="G19" s="32">
        <f t="shared" si="10"/>
        <v>100</v>
      </c>
      <c r="H19" s="167">
        <f t="shared" si="8"/>
        <v>433.33333333333331</v>
      </c>
      <c r="I19" s="168" t="s">
        <v>76</v>
      </c>
      <c r="J19" s="48"/>
      <c r="K19" s="32">
        <f t="shared" ref="K19" si="11">H19*$M$6</f>
        <v>5200</v>
      </c>
      <c r="L19" s="32">
        <f t="shared" si="9"/>
        <v>5200</v>
      </c>
      <c r="M19" s="32">
        <f t="shared" si="9"/>
        <v>5200</v>
      </c>
      <c r="O19" s="2"/>
    </row>
    <row r="20" spans="1:17" x14ac:dyDescent="0.25">
      <c r="A20" s="75" t="s">
        <v>83</v>
      </c>
      <c r="B20" s="9" t="s">
        <v>104</v>
      </c>
      <c r="C20" s="75">
        <v>2</v>
      </c>
      <c r="D20" s="75" t="s">
        <v>107</v>
      </c>
      <c r="E20" s="64">
        <v>1000</v>
      </c>
      <c r="F20" s="75" t="s">
        <v>76</v>
      </c>
      <c r="G20" s="32">
        <f t="shared" ref="G20:G25" si="12">C20*E20</f>
        <v>2000</v>
      </c>
      <c r="H20" s="167">
        <f t="shared" si="8"/>
        <v>8666.6666666666661</v>
      </c>
      <c r="I20" s="168" t="s">
        <v>76</v>
      </c>
      <c r="J20" s="48"/>
      <c r="K20" s="32">
        <f t="shared" ref="K20:K25" si="13">H20*$M$6</f>
        <v>104000</v>
      </c>
      <c r="L20" s="32">
        <f t="shared" ref="L20:L25" si="14">K20</f>
        <v>104000</v>
      </c>
      <c r="M20" s="32">
        <f t="shared" ref="M20:M25" si="15">L20</f>
        <v>104000</v>
      </c>
      <c r="N20" s="50" t="s">
        <v>105</v>
      </c>
      <c r="O20" s="2"/>
    </row>
    <row r="21" spans="1:17" x14ac:dyDescent="0.25">
      <c r="A21" s="75" t="s">
        <v>83</v>
      </c>
      <c r="B21" s="9" t="s">
        <v>106</v>
      </c>
      <c r="C21" s="75">
        <f>C20</f>
        <v>2</v>
      </c>
      <c r="D21" s="75" t="s">
        <v>107</v>
      </c>
      <c r="E21" s="64">
        <v>100</v>
      </c>
      <c r="F21" s="75" t="s">
        <v>76</v>
      </c>
      <c r="G21" s="32">
        <f t="shared" ref="G21" si="16">C21*E21</f>
        <v>200</v>
      </c>
      <c r="H21" s="167">
        <f t="shared" si="8"/>
        <v>866.66666666666663</v>
      </c>
      <c r="I21" s="168" t="s">
        <v>76</v>
      </c>
      <c r="J21" s="48"/>
      <c r="K21" s="32">
        <f t="shared" ref="K21" si="17">H21*$M$6</f>
        <v>10400</v>
      </c>
      <c r="L21" s="32">
        <f t="shared" ref="L21" si="18">K21</f>
        <v>10400</v>
      </c>
      <c r="M21" s="32">
        <f t="shared" ref="M21" si="19">L21</f>
        <v>10400</v>
      </c>
      <c r="N21" s="50" t="s">
        <v>108</v>
      </c>
      <c r="O21" s="2"/>
    </row>
    <row r="22" spans="1:17" x14ac:dyDescent="0.25">
      <c r="A22" s="75" t="s">
        <v>84</v>
      </c>
      <c r="B22" s="9" t="s">
        <v>190</v>
      </c>
      <c r="C22" s="75">
        <v>45</v>
      </c>
      <c r="D22" s="75" t="s">
        <v>110</v>
      </c>
      <c r="E22" s="64">
        <f>(100+5*30+45)/C22</f>
        <v>6.5555555555555554</v>
      </c>
      <c r="F22" s="75" t="s">
        <v>76</v>
      </c>
      <c r="G22" s="32">
        <f t="shared" si="12"/>
        <v>295</v>
      </c>
      <c r="H22" s="167">
        <f t="shared" si="8"/>
        <v>1278.3333333333333</v>
      </c>
      <c r="I22" s="168" t="s">
        <v>76</v>
      </c>
      <c r="J22" s="48"/>
      <c r="K22" s="32">
        <f t="shared" si="13"/>
        <v>15340</v>
      </c>
      <c r="L22" s="32">
        <f t="shared" si="14"/>
        <v>15340</v>
      </c>
      <c r="M22" s="32">
        <f t="shared" si="15"/>
        <v>15340</v>
      </c>
      <c r="N22" s="50" t="s">
        <v>109</v>
      </c>
      <c r="O22" s="2"/>
    </row>
    <row r="23" spans="1:17" x14ac:dyDescent="0.25">
      <c r="A23" s="75" t="s">
        <v>85</v>
      </c>
      <c r="B23" s="9" t="s">
        <v>111</v>
      </c>
      <c r="C23" s="75">
        <v>1</v>
      </c>
      <c r="D23" s="75" t="s">
        <v>79</v>
      </c>
      <c r="E23" s="64">
        <v>400</v>
      </c>
      <c r="F23" s="75" t="s">
        <v>76</v>
      </c>
      <c r="G23" s="32">
        <f t="shared" si="12"/>
        <v>400</v>
      </c>
      <c r="H23" s="167">
        <f t="shared" si="8"/>
        <v>1733.3333333333333</v>
      </c>
      <c r="I23" s="168" t="s">
        <v>76</v>
      </c>
      <c r="J23" s="48"/>
      <c r="K23" s="32">
        <f t="shared" si="13"/>
        <v>20800</v>
      </c>
      <c r="L23" s="32">
        <f t="shared" si="14"/>
        <v>20800</v>
      </c>
      <c r="M23" s="32">
        <f t="shared" si="15"/>
        <v>20800</v>
      </c>
      <c r="O23" s="2"/>
    </row>
    <row r="24" spans="1:17" x14ac:dyDescent="0.25">
      <c r="A24" s="75" t="s">
        <v>86</v>
      </c>
      <c r="B24" s="9" t="s">
        <v>115</v>
      </c>
      <c r="C24" s="75">
        <v>2</v>
      </c>
      <c r="D24" s="75" t="s">
        <v>116</v>
      </c>
      <c r="E24" s="64">
        <v>300</v>
      </c>
      <c r="F24" s="75" t="s">
        <v>76</v>
      </c>
      <c r="G24" s="32">
        <f t="shared" si="12"/>
        <v>600</v>
      </c>
      <c r="H24" s="167">
        <f t="shared" si="8"/>
        <v>2600</v>
      </c>
      <c r="I24" s="168" t="s">
        <v>76</v>
      </c>
      <c r="J24" s="48"/>
      <c r="K24" s="32">
        <f t="shared" si="13"/>
        <v>31200</v>
      </c>
      <c r="L24" s="32">
        <f t="shared" si="14"/>
        <v>31200</v>
      </c>
      <c r="M24" s="32">
        <f t="shared" si="15"/>
        <v>31200</v>
      </c>
      <c r="N24" s="50" t="s">
        <v>117</v>
      </c>
      <c r="O24" s="2"/>
    </row>
    <row r="25" spans="1:17" x14ac:dyDescent="0.25">
      <c r="A25" s="75" t="s">
        <v>87</v>
      </c>
      <c r="B25" s="9" t="s">
        <v>112</v>
      </c>
      <c r="C25" s="75">
        <v>2</v>
      </c>
      <c r="D25" s="75" t="s">
        <v>113</v>
      </c>
      <c r="E25" s="64">
        <v>1000</v>
      </c>
      <c r="F25" s="75" t="s">
        <v>76</v>
      </c>
      <c r="G25" s="32">
        <f t="shared" si="12"/>
        <v>2000</v>
      </c>
      <c r="H25" s="167">
        <f t="shared" si="8"/>
        <v>8666.6666666666661</v>
      </c>
      <c r="I25" s="168" t="s">
        <v>76</v>
      </c>
      <c r="J25" s="48"/>
      <c r="K25" s="32">
        <f t="shared" si="13"/>
        <v>104000</v>
      </c>
      <c r="L25" s="32">
        <f t="shared" si="14"/>
        <v>104000</v>
      </c>
      <c r="M25" s="32">
        <f t="shared" si="15"/>
        <v>104000</v>
      </c>
      <c r="N25" s="50" t="s">
        <v>114</v>
      </c>
      <c r="O25" s="2"/>
    </row>
    <row r="26" spans="1:17" x14ac:dyDescent="0.25">
      <c r="A26" s="75" t="s">
        <v>87</v>
      </c>
      <c r="B26" s="9" t="s">
        <v>123</v>
      </c>
      <c r="C26" s="75">
        <v>2</v>
      </c>
      <c r="D26" s="75" t="s">
        <v>122</v>
      </c>
      <c r="E26" s="32">
        <v>370</v>
      </c>
      <c r="F26" s="75" t="s">
        <v>76</v>
      </c>
      <c r="G26" s="32">
        <f t="shared" ref="G26" si="20">C26*E26</f>
        <v>740</v>
      </c>
      <c r="H26" s="167">
        <f t="shared" si="8"/>
        <v>3206.6666666666665</v>
      </c>
      <c r="I26" s="168" t="s">
        <v>76</v>
      </c>
      <c r="J26" s="48"/>
      <c r="K26" s="32">
        <f t="shared" ref="K26" si="21">H26*$M$6</f>
        <v>38480</v>
      </c>
      <c r="L26" s="32">
        <f t="shared" ref="L26" si="22">K26</f>
        <v>38480</v>
      </c>
      <c r="M26" s="32">
        <f t="shared" ref="M26" si="23">L26</f>
        <v>38480</v>
      </c>
      <c r="N26" s="50" t="s">
        <v>114</v>
      </c>
      <c r="O26" s="2"/>
    </row>
    <row r="27" spans="1:17" x14ac:dyDescent="0.25">
      <c r="A27" s="75" t="s">
        <v>87</v>
      </c>
      <c r="B27" s="9" t="s">
        <v>172</v>
      </c>
      <c r="C27" s="75">
        <v>1</v>
      </c>
      <c r="D27" s="75" t="s">
        <v>79</v>
      </c>
      <c r="E27" s="64">
        <v>950</v>
      </c>
      <c r="F27" s="75" t="s">
        <v>76</v>
      </c>
      <c r="G27" s="32">
        <f t="shared" ref="G27" si="24">C27*E27</f>
        <v>950</v>
      </c>
      <c r="H27" s="167">
        <f>G27*52/12</f>
        <v>4116.666666666667</v>
      </c>
      <c r="I27" s="168" t="s">
        <v>76</v>
      </c>
      <c r="J27" s="48"/>
      <c r="K27" s="32">
        <f t="shared" ref="K27" si="25">H27*$M$6</f>
        <v>49400</v>
      </c>
      <c r="L27" s="32">
        <f t="shared" ref="L27" si="26">K27</f>
        <v>49400</v>
      </c>
      <c r="M27" s="32">
        <f t="shared" ref="M27" si="27">L27</f>
        <v>49400</v>
      </c>
      <c r="N27" s="50" t="s">
        <v>173</v>
      </c>
      <c r="O27" s="2"/>
    </row>
    <row r="28" spans="1:17" x14ac:dyDescent="0.25">
      <c r="A28" s="75" t="s">
        <v>94</v>
      </c>
      <c r="B28" s="9" t="s">
        <v>38</v>
      </c>
      <c r="C28" s="75">
        <v>1</v>
      </c>
      <c r="D28" s="75" t="s">
        <v>79</v>
      </c>
      <c r="E28" s="64">
        <f>50+C26*30</f>
        <v>110</v>
      </c>
      <c r="F28" s="75" t="s">
        <v>76</v>
      </c>
      <c r="G28" s="32">
        <f t="shared" ref="G28:G29" si="28">C28*E28</f>
        <v>110</v>
      </c>
      <c r="H28" s="167">
        <f t="shared" si="8"/>
        <v>476.66666666666669</v>
      </c>
      <c r="I28" s="168" t="s">
        <v>76</v>
      </c>
      <c r="J28" s="48"/>
      <c r="K28" s="32">
        <f t="shared" ref="K28:K29" si="29">H28*$M$6</f>
        <v>5720</v>
      </c>
      <c r="L28" s="32">
        <f t="shared" ref="L28:L29" si="30">K28</f>
        <v>5720</v>
      </c>
      <c r="M28" s="32">
        <f t="shared" ref="M28:M29" si="31">L28</f>
        <v>5720</v>
      </c>
      <c r="O28" s="2"/>
    </row>
    <row r="29" spans="1:17" x14ac:dyDescent="0.25">
      <c r="A29" s="75" t="s">
        <v>95</v>
      </c>
      <c r="B29" s="9" t="s">
        <v>75</v>
      </c>
      <c r="C29" s="75">
        <v>1</v>
      </c>
      <c r="D29" s="75" t="s">
        <v>79</v>
      </c>
      <c r="E29" s="64">
        <v>200</v>
      </c>
      <c r="F29" s="75" t="s">
        <v>76</v>
      </c>
      <c r="G29" s="32">
        <f t="shared" si="28"/>
        <v>200</v>
      </c>
      <c r="H29" s="167">
        <f t="shared" si="8"/>
        <v>866.66666666666663</v>
      </c>
      <c r="I29" s="168" t="s">
        <v>76</v>
      </c>
      <c r="J29" s="48"/>
      <c r="K29" s="32">
        <f t="shared" si="29"/>
        <v>10400</v>
      </c>
      <c r="L29" s="32">
        <f t="shared" si="30"/>
        <v>10400</v>
      </c>
      <c r="M29" s="32">
        <f t="shared" si="31"/>
        <v>10400</v>
      </c>
      <c r="O29" s="2"/>
    </row>
    <row r="30" spans="1:17" x14ac:dyDescent="0.25">
      <c r="A30" s="111"/>
      <c r="C30" s="111"/>
      <c r="D30" s="111"/>
      <c r="E30" s="64"/>
      <c r="F30" s="111"/>
      <c r="G30" s="32"/>
      <c r="H30" s="167"/>
      <c r="I30" s="168"/>
      <c r="J30" s="48"/>
      <c r="K30" s="32"/>
      <c r="L30" s="32"/>
      <c r="M30" s="32"/>
      <c r="O30" s="2"/>
    </row>
    <row r="31" spans="1:17" x14ac:dyDescent="0.25">
      <c r="A31" s="23"/>
      <c r="B31" s="141" t="s">
        <v>164</v>
      </c>
      <c r="C31" s="21"/>
      <c r="D31" s="21"/>
      <c r="E31" s="26"/>
      <c r="F31" s="26"/>
      <c r="G31" s="26"/>
      <c r="H31" s="153"/>
      <c r="I31" s="154"/>
      <c r="J31" s="48"/>
      <c r="K31" s="30"/>
      <c r="L31" s="30"/>
      <c r="M31" s="30"/>
      <c r="N31" s="30"/>
      <c r="O31" s="2"/>
      <c r="P31" s="2"/>
    </row>
    <row r="32" spans="1:17" s="139" customFormat="1" x14ac:dyDescent="0.25">
      <c r="A32" s="155" t="s">
        <v>18</v>
      </c>
      <c r="B32" s="156" t="s">
        <v>191</v>
      </c>
      <c r="C32" s="155"/>
      <c r="D32" s="155"/>
      <c r="E32" s="157"/>
      <c r="F32" s="155" t="s">
        <v>76</v>
      </c>
      <c r="G32" s="157"/>
      <c r="H32" s="158">
        <f>G32</f>
        <v>0</v>
      </c>
      <c r="I32" s="171" t="s">
        <v>76</v>
      </c>
      <c r="J32" s="48"/>
      <c r="K32" s="157"/>
      <c r="L32" s="157">
        <v>0</v>
      </c>
      <c r="M32" s="157"/>
      <c r="N32" s="157"/>
      <c r="O32" s="2"/>
      <c r="Q32" s="161"/>
    </row>
    <row r="33" spans="1:14" x14ac:dyDescent="0.25">
      <c r="A33" s="10"/>
      <c r="C33" s="10"/>
      <c r="D33" s="10"/>
      <c r="E33" s="32"/>
      <c r="F33" s="10"/>
      <c r="G33" s="32"/>
      <c r="H33" s="167"/>
      <c r="I33" s="168"/>
      <c r="J33" s="48"/>
      <c r="K33" s="32"/>
      <c r="L33" s="32"/>
      <c r="M33" s="32"/>
    </row>
    <row r="34" spans="1:14" s="7" customFormat="1" x14ac:dyDescent="0.25">
      <c r="A34" s="27" t="s">
        <v>7</v>
      </c>
      <c r="B34" s="113" t="s">
        <v>0</v>
      </c>
      <c r="C34" s="113"/>
      <c r="D34" s="113"/>
      <c r="E34" s="113"/>
      <c r="F34" s="113"/>
      <c r="G34" s="31"/>
      <c r="H34" s="175">
        <f>SUM(H10:H33)</f>
        <v>67795.000000000015</v>
      </c>
      <c r="I34" s="176"/>
      <c r="J34" s="48"/>
      <c r="K34" s="31">
        <f>SUM(K10:K33)</f>
        <v>813540</v>
      </c>
      <c r="L34" s="31">
        <f>SUM(L10:L33)</f>
        <v>805140</v>
      </c>
      <c r="M34" s="31">
        <f>SUM(M10:M33)</f>
        <v>805140</v>
      </c>
      <c r="N34" s="54"/>
    </row>
    <row r="35" spans="1:14" ht="24" customHeight="1" x14ac:dyDescent="0.25">
      <c r="H35" s="183"/>
      <c r="I35" s="184"/>
      <c r="J35" s="48"/>
      <c r="K35" s="44"/>
      <c r="L35" s="44"/>
      <c r="M35" s="44"/>
    </row>
    <row r="36" spans="1:14" ht="18.75" x14ac:dyDescent="0.25">
      <c r="A36" s="114" t="s">
        <v>35</v>
      </c>
      <c r="B36" s="114"/>
      <c r="C36" s="114"/>
      <c r="D36" s="114"/>
      <c r="E36" s="114"/>
      <c r="F36" s="114"/>
      <c r="G36" s="114"/>
      <c r="H36" s="179" t="s">
        <v>72</v>
      </c>
      <c r="I36" s="180"/>
      <c r="J36" s="48"/>
      <c r="K36" s="34" t="s">
        <v>53</v>
      </c>
      <c r="L36" s="34" t="s">
        <v>52</v>
      </c>
      <c r="M36" s="34" t="s">
        <v>54</v>
      </c>
      <c r="N36" s="51" t="s">
        <v>70</v>
      </c>
    </row>
    <row r="37" spans="1:14" x14ac:dyDescent="0.25">
      <c r="A37" s="6" t="s">
        <v>11</v>
      </c>
      <c r="B37" s="6" t="s">
        <v>36</v>
      </c>
      <c r="C37" s="6" t="s">
        <v>45</v>
      </c>
      <c r="D37" s="6" t="s">
        <v>3</v>
      </c>
      <c r="E37" s="6" t="s">
        <v>39</v>
      </c>
      <c r="F37" s="6" t="s">
        <v>3</v>
      </c>
      <c r="G37" s="6" t="s">
        <v>74</v>
      </c>
      <c r="H37" s="166" t="s">
        <v>73</v>
      </c>
      <c r="I37" s="163" t="s">
        <v>3</v>
      </c>
      <c r="J37" s="48"/>
      <c r="K37" s="35" t="s">
        <v>1</v>
      </c>
      <c r="L37" s="35" t="s">
        <v>1</v>
      </c>
      <c r="M37" s="35" t="s">
        <v>1</v>
      </c>
      <c r="N37" s="52"/>
    </row>
    <row r="38" spans="1:14" x14ac:dyDescent="0.25">
      <c r="A38" s="10" t="s">
        <v>23</v>
      </c>
      <c r="B38" s="9" t="s">
        <v>66</v>
      </c>
      <c r="C38" s="10">
        <f>C16</f>
        <v>100</v>
      </c>
      <c r="D38" s="10" t="str">
        <f>D16</f>
        <v>kg</v>
      </c>
      <c r="E38" s="32">
        <v>60</v>
      </c>
      <c r="F38" s="63" t="s">
        <v>76</v>
      </c>
      <c r="G38" s="32">
        <f t="shared" ref="G38:G39" si="32">C38*E38</f>
        <v>6000</v>
      </c>
      <c r="H38" s="167">
        <f>G38*52/12</f>
        <v>26000</v>
      </c>
      <c r="I38" s="168" t="s">
        <v>76</v>
      </c>
      <c r="J38" s="48"/>
      <c r="K38" s="32">
        <f t="shared" ref="K38:K39" si="33">H38*$M$6</f>
        <v>312000</v>
      </c>
      <c r="L38" s="32">
        <f t="shared" ref="L38:M38" si="34">K38</f>
        <v>312000</v>
      </c>
      <c r="M38" s="32">
        <f t="shared" si="34"/>
        <v>312000</v>
      </c>
    </row>
    <row r="39" spans="1:14" s="11" customFormat="1" x14ac:dyDescent="0.25">
      <c r="A39" s="77" t="s">
        <v>24</v>
      </c>
      <c r="B39" s="9" t="s">
        <v>67</v>
      </c>
      <c r="C39" s="10">
        <f>C17</f>
        <v>100</v>
      </c>
      <c r="D39" s="10" t="str">
        <f>D17</f>
        <v>kg</v>
      </c>
      <c r="E39" s="32">
        <v>40</v>
      </c>
      <c r="F39" s="49" t="s">
        <v>76</v>
      </c>
      <c r="G39" s="32">
        <f t="shared" si="32"/>
        <v>4000</v>
      </c>
      <c r="H39" s="167">
        <f>G39*52/12</f>
        <v>17333.333333333332</v>
      </c>
      <c r="I39" s="168" t="s">
        <v>76</v>
      </c>
      <c r="J39" s="48"/>
      <c r="K39" s="32">
        <f t="shared" si="33"/>
        <v>208000</v>
      </c>
      <c r="L39" s="32">
        <f t="shared" ref="L39:M39" si="35">K39</f>
        <v>208000</v>
      </c>
      <c r="M39" s="32">
        <f t="shared" si="35"/>
        <v>208000</v>
      </c>
      <c r="N39" s="50"/>
    </row>
    <row r="40" spans="1:14" s="11" customFormat="1" x14ac:dyDescent="0.25">
      <c r="A40" s="77" t="s">
        <v>25</v>
      </c>
      <c r="B40" s="9" t="str">
        <f>B20</f>
        <v>Poulet</v>
      </c>
      <c r="C40" s="75">
        <f>C20*10</f>
        <v>20</v>
      </c>
      <c r="D40" s="75" t="s">
        <v>77</v>
      </c>
      <c r="E40" s="32">
        <v>140</v>
      </c>
      <c r="F40" s="75" t="s">
        <v>76</v>
      </c>
      <c r="G40" s="32">
        <f t="shared" ref="G40:G44" si="36">C40*E40</f>
        <v>2800</v>
      </c>
      <c r="H40" s="167">
        <f t="shared" ref="H40:H44" si="37">G40*52/12</f>
        <v>12133.333333333334</v>
      </c>
      <c r="I40" s="168" t="s">
        <v>76</v>
      </c>
      <c r="J40" s="48"/>
      <c r="K40" s="32">
        <f t="shared" ref="K40:K43" si="38">H40*$M$6</f>
        <v>145600</v>
      </c>
      <c r="L40" s="32">
        <f t="shared" ref="L40:L43" si="39">K40</f>
        <v>145600</v>
      </c>
      <c r="M40" s="32">
        <f t="shared" ref="M40:M43" si="40">L40</f>
        <v>145600</v>
      </c>
      <c r="N40" s="50"/>
    </row>
    <row r="41" spans="1:14" s="11" customFormat="1" x14ac:dyDescent="0.25">
      <c r="A41" s="77" t="s">
        <v>90</v>
      </c>
      <c r="B41" s="9" t="str">
        <f>B22</f>
        <v>Bissap matière première (bissap, sucre)</v>
      </c>
      <c r="C41" s="75">
        <f>C22</f>
        <v>45</v>
      </c>
      <c r="D41" s="75" t="str">
        <f>D22</f>
        <v>bouteille 50cl</v>
      </c>
      <c r="E41" s="32">
        <v>10</v>
      </c>
      <c r="F41" s="75" t="s">
        <v>76</v>
      </c>
      <c r="G41" s="32">
        <f t="shared" si="36"/>
        <v>450</v>
      </c>
      <c r="H41" s="167">
        <f t="shared" si="37"/>
        <v>1950</v>
      </c>
      <c r="I41" s="168" t="s">
        <v>76</v>
      </c>
      <c r="J41" s="48"/>
      <c r="K41" s="32">
        <f t="shared" si="38"/>
        <v>23400</v>
      </c>
      <c r="L41" s="32">
        <f t="shared" si="39"/>
        <v>23400</v>
      </c>
      <c r="M41" s="32">
        <f t="shared" si="40"/>
        <v>23400</v>
      </c>
      <c r="N41" s="50" t="s">
        <v>148</v>
      </c>
    </row>
    <row r="42" spans="1:14" s="11" customFormat="1" x14ac:dyDescent="0.25">
      <c r="A42" s="77" t="s">
        <v>91</v>
      </c>
      <c r="B42" s="9" t="str">
        <f>B23</f>
        <v>Légumes (piment, nyo, etc.)</v>
      </c>
      <c r="C42" s="75">
        <f>C23</f>
        <v>1</v>
      </c>
      <c r="D42" s="75" t="str">
        <f>D23</f>
        <v>forfait</v>
      </c>
      <c r="E42" s="32">
        <f>E23+200</f>
        <v>600</v>
      </c>
      <c r="F42" s="75" t="s">
        <v>76</v>
      </c>
      <c r="G42" s="32">
        <f t="shared" si="36"/>
        <v>600</v>
      </c>
      <c r="H42" s="167">
        <f t="shared" si="37"/>
        <v>2600</v>
      </c>
      <c r="I42" s="168" t="s">
        <v>76</v>
      </c>
      <c r="J42" s="48"/>
      <c r="K42" s="32">
        <f t="shared" si="38"/>
        <v>31200</v>
      </c>
      <c r="L42" s="32">
        <f t="shared" si="39"/>
        <v>31200</v>
      </c>
      <c r="M42" s="32">
        <f t="shared" si="40"/>
        <v>31200</v>
      </c>
      <c r="N42" s="50"/>
    </row>
    <row r="43" spans="1:14" s="11" customFormat="1" x14ac:dyDescent="0.25">
      <c r="A43" s="77" t="s">
        <v>92</v>
      </c>
      <c r="B43" s="9" t="str">
        <f>B24</f>
        <v>Pate</v>
      </c>
      <c r="C43" s="75">
        <f>C24*10</f>
        <v>20</v>
      </c>
      <c r="D43" s="75" t="str">
        <f>D24</f>
        <v>sac 10 kg</v>
      </c>
      <c r="E43" s="32">
        <v>40</v>
      </c>
      <c r="F43" s="75" t="s">
        <v>76</v>
      </c>
      <c r="G43" s="32">
        <f t="shared" si="36"/>
        <v>800</v>
      </c>
      <c r="H43" s="167">
        <f t="shared" si="37"/>
        <v>3466.6666666666665</v>
      </c>
      <c r="I43" s="168" t="s">
        <v>76</v>
      </c>
      <c r="J43" s="48"/>
      <c r="K43" s="32">
        <f t="shared" si="38"/>
        <v>41600</v>
      </c>
      <c r="L43" s="32">
        <f t="shared" si="39"/>
        <v>41600</v>
      </c>
      <c r="M43" s="32">
        <f t="shared" si="40"/>
        <v>41600</v>
      </c>
      <c r="N43" s="50"/>
    </row>
    <row r="44" spans="1:14" s="11" customFormat="1" x14ac:dyDescent="0.25">
      <c r="A44" s="77" t="s">
        <v>93</v>
      </c>
      <c r="B44" s="9" t="str">
        <f>B25</f>
        <v>Huile</v>
      </c>
      <c r="C44" s="75">
        <f>C25*20</f>
        <v>40</v>
      </c>
      <c r="D44" s="75" t="s">
        <v>147</v>
      </c>
      <c r="E44" s="32">
        <v>60</v>
      </c>
      <c r="F44" s="75" t="s">
        <v>76</v>
      </c>
      <c r="G44" s="32">
        <f t="shared" si="36"/>
        <v>2400</v>
      </c>
      <c r="H44" s="167">
        <f t="shared" si="37"/>
        <v>10400</v>
      </c>
      <c r="I44" s="168" t="s">
        <v>76</v>
      </c>
      <c r="J44" s="48"/>
      <c r="K44" s="32">
        <f t="shared" ref="K44:K47" si="41">H44*$M$6</f>
        <v>124800</v>
      </c>
      <c r="L44" s="32">
        <f t="shared" ref="L44:L47" si="42">K44</f>
        <v>124800</v>
      </c>
      <c r="M44" s="32">
        <f t="shared" ref="M44:M47" si="43">L44</f>
        <v>124800</v>
      </c>
      <c r="N44" s="50"/>
    </row>
    <row r="45" spans="1:14" s="11" customFormat="1" x14ac:dyDescent="0.25">
      <c r="A45" s="79" t="s">
        <v>93</v>
      </c>
      <c r="B45" s="9" t="s">
        <v>146</v>
      </c>
      <c r="C45" s="79">
        <f>C25</f>
        <v>2</v>
      </c>
      <c r="D45" s="79" t="s">
        <v>124</v>
      </c>
      <c r="E45" s="32">
        <v>50</v>
      </c>
      <c r="F45" s="79" t="s">
        <v>76</v>
      </c>
      <c r="G45" s="32">
        <f t="shared" ref="G45" si="44">C45*E45</f>
        <v>100</v>
      </c>
      <c r="H45" s="167">
        <f t="shared" ref="H45" si="45">G45*52/12</f>
        <v>433.33333333333331</v>
      </c>
      <c r="I45" s="168" t="s">
        <v>76</v>
      </c>
      <c r="J45" s="48"/>
      <c r="K45" s="32">
        <f t="shared" ref="K45" si="46">H45*$M$6</f>
        <v>5200</v>
      </c>
      <c r="L45" s="32">
        <f t="shared" ref="L45" si="47">K45</f>
        <v>5200</v>
      </c>
      <c r="M45" s="32">
        <f t="shared" ref="M45" si="48">L45</f>
        <v>5200</v>
      </c>
      <c r="N45" s="50"/>
    </row>
    <row r="46" spans="1:14" s="11" customFormat="1" x14ac:dyDescent="0.25">
      <c r="A46" s="79" t="s">
        <v>125</v>
      </c>
      <c r="B46" s="9" t="str">
        <f>B26</f>
        <v>Biscuit</v>
      </c>
      <c r="C46" s="79">
        <f>C26*50</f>
        <v>100</v>
      </c>
      <c r="D46" s="79" t="s">
        <v>124</v>
      </c>
      <c r="E46" s="32">
        <v>10</v>
      </c>
      <c r="F46" s="79" t="s">
        <v>76</v>
      </c>
      <c r="G46" s="32">
        <f t="shared" ref="G46" si="49">C46*E46</f>
        <v>1000</v>
      </c>
      <c r="H46" s="167">
        <f t="shared" ref="H46" si="50">G46*52/12</f>
        <v>4333.333333333333</v>
      </c>
      <c r="I46" s="168" t="s">
        <v>76</v>
      </c>
      <c r="J46" s="48"/>
      <c r="K46" s="32">
        <f t="shared" ref="K46" si="51">H46*$M$6</f>
        <v>52000</v>
      </c>
      <c r="L46" s="32">
        <f t="shared" ref="L46" si="52">K46</f>
        <v>52000</v>
      </c>
      <c r="M46" s="32">
        <f t="shared" ref="M46" si="53">L46</f>
        <v>52000</v>
      </c>
      <c r="N46" s="50"/>
    </row>
    <row r="47" spans="1:14" s="11" customFormat="1" x14ac:dyDescent="0.25">
      <c r="A47" s="77" t="s">
        <v>118</v>
      </c>
      <c r="B47" s="9" t="str">
        <f>B27</f>
        <v>Crédit téléphonique</v>
      </c>
      <c r="C47" s="75">
        <f>C27</f>
        <v>1</v>
      </c>
      <c r="D47" s="75" t="str">
        <f>D27</f>
        <v>forfait</v>
      </c>
      <c r="E47" s="32">
        <f>1000*1.5</f>
        <v>1500</v>
      </c>
      <c r="F47" s="75" t="s">
        <v>76</v>
      </c>
      <c r="G47" s="32">
        <f t="shared" ref="G47" si="54">C47*E47</f>
        <v>1500</v>
      </c>
      <c r="H47" s="167">
        <f t="shared" ref="H47" si="55">G47*52/12</f>
        <v>6500</v>
      </c>
      <c r="I47" s="168" t="s">
        <v>76</v>
      </c>
      <c r="J47" s="48"/>
      <c r="K47" s="32">
        <f t="shared" si="41"/>
        <v>78000</v>
      </c>
      <c r="L47" s="32">
        <f t="shared" si="42"/>
        <v>78000</v>
      </c>
      <c r="M47" s="32">
        <f t="shared" si="43"/>
        <v>78000</v>
      </c>
      <c r="N47" s="50"/>
    </row>
    <row r="48" spans="1:14" s="11" customFormat="1" x14ac:dyDescent="0.25">
      <c r="A48" s="77" t="s">
        <v>126</v>
      </c>
      <c r="B48" s="9" t="s">
        <v>127</v>
      </c>
      <c r="C48" s="77">
        <v>70</v>
      </c>
      <c r="D48" s="77" t="str">
        <f>D28</f>
        <v>forfait</v>
      </c>
      <c r="E48" s="32">
        <f>(10+5)/2</f>
        <v>7.5</v>
      </c>
      <c r="F48" s="77" t="s">
        <v>76</v>
      </c>
      <c r="G48" s="32">
        <f t="shared" ref="G48" si="56">C48*E48</f>
        <v>525</v>
      </c>
      <c r="H48" s="167">
        <f t="shared" ref="H48" si="57">G48*52/12</f>
        <v>2275</v>
      </c>
      <c r="I48" s="168" t="s">
        <v>76</v>
      </c>
      <c r="J48" s="48"/>
      <c r="K48" s="32">
        <f t="shared" ref="K48" si="58">H48*$M$6</f>
        <v>27300</v>
      </c>
      <c r="L48" s="32">
        <f t="shared" ref="L48" si="59">K48</f>
        <v>27300</v>
      </c>
      <c r="M48" s="32">
        <f t="shared" ref="M48" si="60">L48</f>
        <v>27300</v>
      </c>
      <c r="N48" s="50" t="s">
        <v>174</v>
      </c>
    </row>
    <row r="49" spans="1:17" s="11" customFormat="1" x14ac:dyDescent="0.25">
      <c r="A49" s="111"/>
      <c r="B49" s="9"/>
      <c r="C49" s="111"/>
      <c r="D49" s="111"/>
      <c r="E49" s="32"/>
      <c r="F49" s="111"/>
      <c r="G49" s="32"/>
      <c r="H49" s="167"/>
      <c r="I49" s="168"/>
      <c r="J49" s="48"/>
      <c r="K49" s="32"/>
      <c r="L49" s="32"/>
      <c r="M49" s="32"/>
      <c r="N49" s="50"/>
    </row>
    <row r="50" spans="1:17" x14ac:dyDescent="0.25">
      <c r="A50" s="23"/>
      <c r="B50" s="141" t="s">
        <v>167</v>
      </c>
      <c r="C50" s="21"/>
      <c r="D50" s="21"/>
      <c r="E50" s="26"/>
      <c r="F50" s="26"/>
      <c r="G50" s="26"/>
      <c r="H50" s="153"/>
      <c r="I50" s="154"/>
      <c r="J50" s="111"/>
      <c r="K50" s="30"/>
      <c r="L50" s="30"/>
      <c r="M50" s="30"/>
      <c r="N50" s="53"/>
      <c r="O50" s="2"/>
    </row>
    <row r="51" spans="1:17" s="139" customFormat="1" x14ac:dyDescent="0.25">
      <c r="A51" s="155" t="s">
        <v>185</v>
      </c>
      <c r="B51" s="187" t="s">
        <v>175</v>
      </c>
      <c r="C51" s="155">
        <v>1</v>
      </c>
      <c r="D51" s="155" t="s">
        <v>79</v>
      </c>
      <c r="E51" s="157">
        <f>((SUM(G38:G39)-SUM(G16:G19))*2)*52/12</f>
        <v>19933.333333333332</v>
      </c>
      <c r="F51" s="155" t="s">
        <v>76</v>
      </c>
      <c r="G51" s="157">
        <f t="shared" ref="G51:G54" si="61">C51*E51</f>
        <v>19933.333333333332</v>
      </c>
      <c r="H51" s="158"/>
      <c r="I51" s="171" t="s">
        <v>76</v>
      </c>
      <c r="J51" s="159"/>
      <c r="K51" s="157"/>
      <c r="L51" s="157">
        <f>G51*$M$6</f>
        <v>239200</v>
      </c>
      <c r="M51" s="157">
        <f t="shared" ref="M51:M53" si="62">L51</f>
        <v>239200</v>
      </c>
      <c r="N51" s="160" t="s">
        <v>165</v>
      </c>
      <c r="P51" s="161"/>
    </row>
    <row r="52" spans="1:17" s="139" customFormat="1" x14ac:dyDescent="0.25">
      <c r="A52" s="155" t="s">
        <v>186</v>
      </c>
      <c r="B52" s="187" t="s">
        <v>176</v>
      </c>
      <c r="C52" s="155">
        <v>1</v>
      </c>
      <c r="D52" s="155" t="s">
        <v>79</v>
      </c>
      <c r="E52" s="157">
        <f>(G41-G22)*3</f>
        <v>465</v>
      </c>
      <c r="F52" s="155" t="s">
        <v>76</v>
      </c>
      <c r="G52" s="157">
        <f>(C52*E52)*52/12</f>
        <v>2015</v>
      </c>
      <c r="H52" s="158"/>
      <c r="I52" s="171" t="s">
        <v>76</v>
      </c>
      <c r="J52" s="159"/>
      <c r="K52" s="157"/>
      <c r="L52" s="157">
        <f>G52*$M$6</f>
        <v>24180</v>
      </c>
      <c r="M52" s="157">
        <f t="shared" ref="M52:M54" si="63">L52</f>
        <v>24180</v>
      </c>
      <c r="N52" s="160" t="s">
        <v>166</v>
      </c>
      <c r="Q52" s="161"/>
    </row>
    <row r="53" spans="1:17" s="185" customFormat="1" ht="30" x14ac:dyDescent="0.25">
      <c r="A53" s="155" t="s">
        <v>187</v>
      </c>
      <c r="B53" s="187" t="s">
        <v>177</v>
      </c>
      <c r="C53" s="155">
        <v>1</v>
      </c>
      <c r="D53" s="155" t="s">
        <v>79</v>
      </c>
      <c r="E53" s="157">
        <v>12000</v>
      </c>
      <c r="F53" s="155" t="s">
        <v>76</v>
      </c>
      <c r="G53" s="157">
        <f t="shared" si="61"/>
        <v>12000</v>
      </c>
      <c r="H53" s="158"/>
      <c r="I53" s="171" t="s">
        <v>76</v>
      </c>
      <c r="J53" s="159"/>
      <c r="K53" s="157"/>
      <c r="L53" s="157">
        <f>G53*$M$6</f>
        <v>144000</v>
      </c>
      <c r="M53" s="157">
        <f t="shared" si="63"/>
        <v>144000</v>
      </c>
      <c r="N53" s="160"/>
      <c r="P53" s="161"/>
      <c r="Q53" s="186"/>
    </row>
    <row r="54" spans="1:17" s="139" customFormat="1" x14ac:dyDescent="0.25">
      <c r="A54" s="155" t="s">
        <v>188</v>
      </c>
      <c r="B54" s="187" t="s">
        <v>178</v>
      </c>
      <c r="C54" s="155">
        <v>1</v>
      </c>
      <c r="D54" s="155" t="s">
        <v>79</v>
      </c>
      <c r="E54" s="157">
        <v>12000</v>
      </c>
      <c r="F54" s="155" t="s">
        <v>76</v>
      </c>
      <c r="G54" s="157">
        <f t="shared" si="61"/>
        <v>12000</v>
      </c>
      <c r="H54" s="158"/>
      <c r="I54" s="171" t="s">
        <v>76</v>
      </c>
      <c r="J54" s="159"/>
      <c r="K54" s="157"/>
      <c r="L54" s="157">
        <f>G54*$M$6</f>
        <v>144000</v>
      </c>
      <c r="M54" s="157">
        <f t="shared" si="63"/>
        <v>144000</v>
      </c>
      <c r="N54" s="160"/>
      <c r="Q54" s="161"/>
    </row>
    <row r="55" spans="1:17" x14ac:dyDescent="0.25">
      <c r="A55" s="10"/>
      <c r="C55" s="10"/>
      <c r="D55" s="10"/>
      <c r="E55" s="10"/>
      <c r="F55" s="10"/>
      <c r="G55" s="10"/>
      <c r="H55" s="174"/>
      <c r="I55" s="162"/>
      <c r="J55" s="48"/>
      <c r="K55" s="32"/>
      <c r="L55" s="32"/>
      <c r="M55" s="32"/>
    </row>
    <row r="56" spans="1:17" s="7" customFormat="1" x14ac:dyDescent="0.25">
      <c r="A56" s="27" t="s">
        <v>12</v>
      </c>
      <c r="B56" s="113" t="s">
        <v>0</v>
      </c>
      <c r="C56" s="113"/>
      <c r="D56" s="113"/>
      <c r="E56" s="113"/>
      <c r="F56" s="113"/>
      <c r="G56" s="31"/>
      <c r="H56" s="175">
        <f>SUM(H38:H55)</f>
        <v>87424.999999999985</v>
      </c>
      <c r="I56" s="176" t="s">
        <v>76</v>
      </c>
      <c r="J56" s="112"/>
      <c r="K56" s="31">
        <f>SUM(K38:K55)</f>
        <v>1049100</v>
      </c>
      <c r="L56" s="31">
        <f>SUM(L38:L55)</f>
        <v>1600480</v>
      </c>
      <c r="M56" s="31">
        <f>SUM(M38:M55)</f>
        <v>1600480</v>
      </c>
      <c r="N56" s="54"/>
    </row>
    <row r="57" spans="1:17" x14ac:dyDescent="0.25">
      <c r="H57" s="177"/>
      <c r="I57" s="178"/>
      <c r="J57" s="48"/>
    </row>
    <row r="58" spans="1:17" ht="18.75" x14ac:dyDescent="0.25">
      <c r="A58" s="114" t="s">
        <v>46</v>
      </c>
      <c r="B58" s="114"/>
      <c r="C58" s="114"/>
      <c r="D58" s="114"/>
      <c r="E58" s="114"/>
      <c r="F58" s="114"/>
      <c r="G58" s="114"/>
      <c r="H58" s="179" t="s">
        <v>72</v>
      </c>
      <c r="I58" s="180"/>
      <c r="J58" s="48"/>
      <c r="K58" s="34" t="s">
        <v>53</v>
      </c>
      <c r="L58" s="34" t="s">
        <v>52</v>
      </c>
      <c r="M58" s="34" t="s">
        <v>54</v>
      </c>
      <c r="N58" s="55"/>
    </row>
    <row r="59" spans="1:17" x14ac:dyDescent="0.25">
      <c r="A59" s="8" t="s">
        <v>7</v>
      </c>
      <c r="B59" s="128" t="s">
        <v>26</v>
      </c>
      <c r="C59" s="128"/>
      <c r="D59" s="128"/>
      <c r="E59" s="128"/>
      <c r="F59" s="128"/>
      <c r="G59" s="32"/>
      <c r="H59" s="167">
        <f>H34</f>
        <v>67795.000000000015</v>
      </c>
      <c r="I59" s="168" t="s">
        <v>76</v>
      </c>
      <c r="J59" s="48"/>
      <c r="K59" s="32">
        <f>K34</f>
        <v>813540</v>
      </c>
      <c r="L59" s="32">
        <f>L34</f>
        <v>805140</v>
      </c>
      <c r="M59" s="32">
        <f>M34</f>
        <v>805140</v>
      </c>
    </row>
    <row r="60" spans="1:17" x14ac:dyDescent="0.25">
      <c r="A60" s="8" t="s">
        <v>12</v>
      </c>
      <c r="B60" s="128" t="s">
        <v>47</v>
      </c>
      <c r="C60" s="128"/>
      <c r="D60" s="128"/>
      <c r="E60" s="128"/>
      <c r="F60" s="128"/>
      <c r="G60" s="32"/>
      <c r="H60" s="167">
        <f>H56</f>
        <v>87424.999999999985</v>
      </c>
      <c r="I60" s="168" t="s">
        <v>76</v>
      </c>
      <c r="J60" s="48"/>
      <c r="K60" s="32">
        <f>K56</f>
        <v>1049100</v>
      </c>
      <c r="L60" s="32">
        <f>L56</f>
        <v>1600480</v>
      </c>
      <c r="M60" s="32">
        <f>M56</f>
        <v>1600480</v>
      </c>
    </row>
    <row r="61" spans="1:17" s="7" customFormat="1" x14ac:dyDescent="0.25">
      <c r="A61" s="22"/>
      <c r="B61" s="127" t="s">
        <v>63</v>
      </c>
      <c r="C61" s="127"/>
      <c r="D61" s="127"/>
      <c r="E61" s="127"/>
      <c r="F61" s="127"/>
      <c r="G61" s="31"/>
      <c r="H61" s="175">
        <f>H60-H59</f>
        <v>19629.999999999971</v>
      </c>
      <c r="I61" s="176" t="s">
        <v>76</v>
      </c>
      <c r="J61" s="112"/>
      <c r="K61" s="31">
        <f>K60-K59</f>
        <v>235560</v>
      </c>
      <c r="L61" s="31">
        <f>L60-L59</f>
        <v>795340</v>
      </c>
      <c r="M61" s="31">
        <f>M60-M59</f>
        <v>795340</v>
      </c>
      <c r="N61" s="54"/>
    </row>
    <row r="62" spans="1:17" x14ac:dyDescent="0.25">
      <c r="A62" s="42" t="s">
        <v>9</v>
      </c>
      <c r="B62" s="129" t="s">
        <v>27</v>
      </c>
      <c r="C62" s="129"/>
      <c r="D62" s="129"/>
      <c r="E62" s="129"/>
      <c r="F62" s="129"/>
      <c r="G62" s="43"/>
      <c r="H62" s="181"/>
      <c r="I62" s="182"/>
      <c r="J62" s="48"/>
      <c r="K62" s="32"/>
      <c r="L62" s="43">
        <f>'Info general'!H23</f>
        <v>11552</v>
      </c>
      <c r="M62" s="43">
        <f>'Info general'!H23</f>
        <v>11552</v>
      </c>
      <c r="N62" s="56"/>
    </row>
    <row r="63" spans="1:17" s="7" customFormat="1" ht="15.75" thickBot="1" x14ac:dyDescent="0.3">
      <c r="A63" s="22"/>
      <c r="B63" s="127" t="s">
        <v>64</v>
      </c>
      <c r="C63" s="127"/>
      <c r="D63" s="127"/>
      <c r="E63" s="127"/>
      <c r="F63" s="127"/>
      <c r="G63" s="31"/>
      <c r="H63" s="172">
        <f>H61-H62</f>
        <v>19629.999999999971</v>
      </c>
      <c r="I63" s="173" t="s">
        <v>76</v>
      </c>
      <c r="J63" s="112"/>
      <c r="K63" s="31">
        <f>K61-K62</f>
        <v>235560</v>
      </c>
      <c r="L63" s="31">
        <f t="shared" ref="L63:M63" si="64">L61-L62</f>
        <v>783788</v>
      </c>
      <c r="M63" s="31">
        <f t="shared" si="64"/>
        <v>783788</v>
      </c>
      <c r="N63" s="54"/>
    </row>
    <row r="64" spans="1:17" x14ac:dyDescent="0.25">
      <c r="J64" s="48"/>
    </row>
    <row r="65" spans="1:16" ht="15.75" thickBot="1" x14ac:dyDescent="0.3">
      <c r="J65" s="48"/>
    </row>
    <row r="66" spans="1:16" s="195" customFormat="1" ht="15.75" x14ac:dyDescent="0.25">
      <c r="A66" s="188" t="s">
        <v>179</v>
      </c>
      <c r="B66" s="189"/>
      <c r="C66" s="189"/>
      <c r="D66" s="189"/>
      <c r="E66" s="189"/>
      <c r="F66" s="189"/>
      <c r="G66" s="189"/>
      <c r="H66" s="188" t="s">
        <v>72</v>
      </c>
      <c r="I66" s="190"/>
      <c r="J66" s="191"/>
      <c r="K66" s="192" t="s">
        <v>53</v>
      </c>
      <c r="L66" s="193" t="s">
        <v>52</v>
      </c>
      <c r="M66" s="194" t="s">
        <v>54</v>
      </c>
      <c r="N66" s="50"/>
    </row>
    <row r="67" spans="1:16" x14ac:dyDescent="0.25">
      <c r="A67" s="196" t="s">
        <v>9</v>
      </c>
      <c r="B67" s="197" t="s">
        <v>180</v>
      </c>
      <c r="C67" s="197"/>
      <c r="D67" s="197"/>
      <c r="E67" s="197"/>
      <c r="F67" s="197"/>
      <c r="G67" s="198"/>
      <c r="H67" s="199"/>
      <c r="I67" s="200"/>
      <c r="J67" s="201"/>
      <c r="K67" s="199">
        <f>+'Info general'!F23</f>
        <v>63520</v>
      </c>
      <c r="L67" s="198">
        <f>+'Info general'!F32</f>
        <v>19500</v>
      </c>
      <c r="M67" s="200">
        <v>0</v>
      </c>
    </row>
    <row r="68" spans="1:16" x14ac:dyDescent="0.25">
      <c r="A68" s="196" t="s">
        <v>9</v>
      </c>
      <c r="B68" s="197" t="s">
        <v>27</v>
      </c>
      <c r="C68" s="197"/>
      <c r="D68" s="197"/>
      <c r="E68" s="197"/>
      <c r="F68" s="197"/>
      <c r="G68" s="198"/>
      <c r="H68" s="199"/>
      <c r="I68" s="200"/>
      <c r="J68" s="201"/>
      <c r="K68" s="199"/>
      <c r="L68" s="198">
        <f>+'Info general'!H23</f>
        <v>11552</v>
      </c>
      <c r="M68" s="200">
        <f>+'Info general'!H23+'Info general'!H32</f>
        <v>13502</v>
      </c>
      <c r="P68" s="44"/>
    </row>
    <row r="69" spans="1:16" x14ac:dyDescent="0.25">
      <c r="A69" s="196" t="s">
        <v>7</v>
      </c>
      <c r="B69" s="197" t="s">
        <v>181</v>
      </c>
      <c r="C69" s="197"/>
      <c r="D69" s="197"/>
      <c r="E69" s="197"/>
      <c r="F69" s="197"/>
      <c r="G69" s="198"/>
      <c r="H69" s="199">
        <f>+SUM(H11:H14)</f>
        <v>1950</v>
      </c>
      <c r="I69" s="200" t="s">
        <v>76</v>
      </c>
      <c r="J69" s="201"/>
      <c r="K69" s="199">
        <f>+SUM(K11:K14)</f>
        <v>23400</v>
      </c>
      <c r="L69" s="198">
        <f>+SUM(L11:L14)</f>
        <v>15000</v>
      </c>
      <c r="M69" s="200">
        <f>+SUM(M11:M14)</f>
        <v>15000</v>
      </c>
      <c r="P69" s="44"/>
    </row>
    <row r="70" spans="1:16" x14ac:dyDescent="0.25">
      <c r="A70" s="196" t="s">
        <v>7</v>
      </c>
      <c r="B70" s="197" t="s">
        <v>182</v>
      </c>
      <c r="C70" s="197"/>
      <c r="D70" s="197"/>
      <c r="E70" s="197"/>
      <c r="F70" s="197"/>
      <c r="G70" s="198"/>
      <c r="H70" s="199">
        <f>H34-H69</f>
        <v>65845.000000000015</v>
      </c>
      <c r="I70" s="200" t="s">
        <v>76</v>
      </c>
      <c r="J70" s="201"/>
      <c r="K70" s="199">
        <f t="shared" ref="K70:M70" si="65">K34-K69</f>
        <v>790140</v>
      </c>
      <c r="L70" s="198">
        <f t="shared" si="65"/>
        <v>790140</v>
      </c>
      <c r="M70" s="200">
        <f t="shared" si="65"/>
        <v>790140</v>
      </c>
      <c r="P70" s="44"/>
    </row>
    <row r="71" spans="1:16" x14ac:dyDescent="0.25">
      <c r="A71" s="196" t="s">
        <v>12</v>
      </c>
      <c r="B71" s="197" t="s">
        <v>183</v>
      </c>
      <c r="C71" s="197"/>
      <c r="D71" s="197"/>
      <c r="E71" s="197"/>
      <c r="F71" s="197"/>
      <c r="G71" s="198"/>
      <c r="H71" s="199">
        <f>H56</f>
        <v>87424.999999999985</v>
      </c>
      <c r="I71" s="200" t="s">
        <v>76</v>
      </c>
      <c r="J71" s="201"/>
      <c r="K71" s="199">
        <f t="shared" ref="K71:M71" si="66">K56</f>
        <v>1049100</v>
      </c>
      <c r="L71" s="198">
        <f t="shared" si="66"/>
        <v>1600480</v>
      </c>
      <c r="M71" s="200">
        <f t="shared" si="66"/>
        <v>1600480</v>
      </c>
      <c r="P71" s="44"/>
    </row>
    <row r="72" spans="1:16" s="208" customFormat="1" ht="16.5" thickBot="1" x14ac:dyDescent="0.3">
      <c r="A72" s="202"/>
      <c r="B72" s="203" t="s">
        <v>64</v>
      </c>
      <c r="C72" s="203"/>
      <c r="D72" s="203"/>
      <c r="E72" s="203"/>
      <c r="F72" s="203"/>
      <c r="G72" s="204"/>
      <c r="H72" s="205">
        <f>H71-H70-H69</f>
        <v>19629.999999999971</v>
      </c>
      <c r="I72" s="206" t="s">
        <v>76</v>
      </c>
      <c r="J72" s="207"/>
      <c r="K72" s="205">
        <f t="shared" ref="K72" si="67">K71-K70-K69</f>
        <v>235560</v>
      </c>
      <c r="L72" s="204">
        <f>L71-L70-L69-L68-L67</f>
        <v>764288</v>
      </c>
      <c r="M72" s="206">
        <f>M71-M70-M69-M68-M67</f>
        <v>781838</v>
      </c>
      <c r="N72" s="50"/>
      <c r="P72" s="209"/>
    </row>
    <row r="73" spans="1:16" x14ac:dyDescent="0.25">
      <c r="A73" s="11"/>
      <c r="B73" s="11"/>
      <c r="J73" s="48"/>
    </row>
    <row r="74" spans="1:16" x14ac:dyDescent="0.25">
      <c r="A74" s="11"/>
      <c r="B74" s="11"/>
      <c r="J74" s="48"/>
    </row>
    <row r="75" spans="1:16" x14ac:dyDescent="0.25">
      <c r="A75" s="11"/>
      <c r="B75" s="11"/>
      <c r="J75" s="48"/>
    </row>
    <row r="76" spans="1:16" x14ac:dyDescent="0.25">
      <c r="A76" s="11"/>
      <c r="B76" s="11"/>
      <c r="J76" s="48"/>
    </row>
    <row r="77" spans="1:16" x14ac:dyDescent="0.25">
      <c r="A77" s="11"/>
      <c r="B77" s="11"/>
      <c r="J77" s="48"/>
    </row>
    <row r="78" spans="1:16" x14ac:dyDescent="0.25">
      <c r="B78" s="11"/>
      <c r="J78" s="48"/>
    </row>
    <row r="79" spans="1:16" x14ac:dyDescent="0.25">
      <c r="J79" s="48"/>
    </row>
    <row r="80" spans="1:16" x14ac:dyDescent="0.25">
      <c r="J80" s="48"/>
    </row>
    <row r="81" spans="10:10" x14ac:dyDescent="0.25">
      <c r="J81" s="48"/>
    </row>
    <row r="82" spans="10:10" x14ac:dyDescent="0.25">
      <c r="J82" s="48"/>
    </row>
    <row r="83" spans="10:10" x14ac:dyDescent="0.25">
      <c r="J83" s="48"/>
    </row>
    <row r="84" spans="10:10" x14ac:dyDescent="0.25">
      <c r="J84" s="48"/>
    </row>
    <row r="85" spans="10:10" x14ac:dyDescent="0.25">
      <c r="J85" s="48"/>
    </row>
  </sheetData>
  <mergeCells count="24">
    <mergeCell ref="B72:F72"/>
    <mergeCell ref="B67:F67"/>
    <mergeCell ref="B68:F68"/>
    <mergeCell ref="B69:F69"/>
    <mergeCell ref="B70:F70"/>
    <mergeCell ref="B71:F71"/>
    <mergeCell ref="A4:N4"/>
    <mergeCell ref="H8:I8"/>
    <mergeCell ref="H36:I36"/>
    <mergeCell ref="H58:I58"/>
    <mergeCell ref="A66:G66"/>
    <mergeCell ref="H66:I66"/>
    <mergeCell ref="B63:F63"/>
    <mergeCell ref="A58:G58"/>
    <mergeCell ref="B59:F59"/>
    <mergeCell ref="B60:F60"/>
    <mergeCell ref="B61:F61"/>
    <mergeCell ref="B62:F62"/>
    <mergeCell ref="B56:F56"/>
    <mergeCell ref="A6:E6"/>
    <mergeCell ref="F6:G6"/>
    <mergeCell ref="A8:G8"/>
    <mergeCell ref="B34:F34"/>
    <mergeCell ref="A36:G36"/>
  </mergeCells>
  <pageMargins left="0.70866141732283472" right="0.70866141732283472" top="0.74803149606299213" bottom="0.74803149606299213" header="0.31496062992125984" footer="0.31496062992125984"/>
  <pageSetup paperSize="9" scale="7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703D2-1C6B-44C3-AC04-08CFC323683E}">
  <dimension ref="A1:I77"/>
  <sheetViews>
    <sheetView zoomScale="85" zoomScaleNormal="85" workbookViewId="0">
      <selection activeCell="A16" sqref="A16"/>
    </sheetView>
  </sheetViews>
  <sheetFormatPr baseColWidth="10" defaultColWidth="10.85546875" defaultRowHeight="15" x14ac:dyDescent="0.25"/>
  <cols>
    <col min="1" max="1" width="46.5703125" style="70" customWidth="1"/>
    <col min="2" max="5" width="15.7109375" style="9" customWidth="1"/>
    <col min="6" max="6" width="31.42578125" style="57" customWidth="1"/>
    <col min="7" max="7" width="19.7109375" style="9" customWidth="1"/>
    <col min="8" max="16384" width="10.85546875" style="9"/>
  </cols>
  <sheetData>
    <row r="1" spans="1:8" ht="28.5" x14ac:dyDescent="0.25">
      <c r="A1" s="28" t="s">
        <v>128</v>
      </c>
      <c r="B1" s="5"/>
      <c r="C1" s="5"/>
      <c r="E1" s="79"/>
    </row>
    <row r="2" spans="1:8" x14ac:dyDescent="0.25">
      <c r="A2" s="1"/>
      <c r="B2" s="5"/>
      <c r="C2" s="5"/>
      <c r="E2" s="79"/>
    </row>
    <row r="3" spans="1:8" ht="18.75" x14ac:dyDescent="0.25">
      <c r="A3" s="29" t="s">
        <v>96</v>
      </c>
      <c r="E3" s="79"/>
    </row>
    <row r="4" spans="1:8" x14ac:dyDescent="0.25">
      <c r="A4" s="80"/>
      <c r="E4" s="79"/>
    </row>
    <row r="5" spans="1:8" ht="18.75" customHeight="1" x14ac:dyDescent="0.25">
      <c r="A5" s="81" t="s">
        <v>129</v>
      </c>
      <c r="B5" s="81"/>
      <c r="C5" s="81"/>
      <c r="D5" s="81"/>
      <c r="E5" s="81"/>
      <c r="F5" s="61"/>
      <c r="G5" s="38"/>
      <c r="H5" s="2"/>
    </row>
    <row r="6" spans="1:8" ht="18.75" customHeight="1" x14ac:dyDescent="0.25">
      <c r="A6" s="82"/>
      <c r="B6" s="14"/>
      <c r="C6" s="14"/>
      <c r="D6" s="14"/>
      <c r="E6" s="14"/>
      <c r="F6" s="60"/>
      <c r="G6" s="38"/>
      <c r="H6" s="2"/>
    </row>
    <row r="7" spans="1:8" ht="30" customHeight="1" x14ac:dyDescent="0.25">
      <c r="A7" s="83" t="s">
        <v>97</v>
      </c>
      <c r="B7" s="130" t="str">
        <f>'Info general'!C7</f>
        <v>Boutique, avec congélateur solaire, de vente de produits frais et congelés, notamment poisson, légumes et poulet. Cette activité se complémente avec l’élaboration et vente de boissons traditionnelles (jus de bissap).</v>
      </c>
      <c r="C7" s="131"/>
      <c r="D7" s="131"/>
      <c r="E7" s="131"/>
      <c r="F7" s="132"/>
      <c r="G7" s="38"/>
    </row>
    <row r="8" spans="1:8" ht="18" customHeight="1" x14ac:dyDescent="0.25">
      <c r="A8" s="83" t="s">
        <v>130</v>
      </c>
      <c r="B8" s="133" t="str">
        <f>'Info general'!C8</f>
        <v>Club de mères - Daghvegue</v>
      </c>
      <c r="C8" s="134"/>
      <c r="D8" s="134"/>
      <c r="E8" s="134"/>
      <c r="F8" s="135"/>
      <c r="G8" s="38"/>
    </row>
    <row r="9" spans="1:8" s="3" customFormat="1" x14ac:dyDescent="0.25">
      <c r="A9" s="84" t="s">
        <v>31</v>
      </c>
      <c r="B9" s="67">
        <v>85000</v>
      </c>
      <c r="C9" s="85"/>
      <c r="D9" s="68"/>
      <c r="E9" s="68"/>
      <c r="F9" s="13"/>
      <c r="G9" s="38"/>
    </row>
    <row r="10" spans="1:8" s="3" customFormat="1" ht="15.75" x14ac:dyDescent="0.25">
      <c r="A10" s="86"/>
      <c r="B10" s="69"/>
      <c r="C10" s="69"/>
      <c r="D10" s="69"/>
      <c r="E10" s="69"/>
      <c r="F10" s="69"/>
      <c r="G10" s="38"/>
    </row>
    <row r="11" spans="1:8" ht="18.75" x14ac:dyDescent="0.25">
      <c r="A11" s="87" t="s">
        <v>131</v>
      </c>
      <c r="B11" s="78"/>
      <c r="C11" s="78"/>
      <c r="D11" s="78"/>
      <c r="E11" s="78"/>
      <c r="F11" s="61"/>
      <c r="G11" s="37"/>
    </row>
    <row r="12" spans="1:8" ht="14.45" customHeight="1" x14ac:dyDescent="0.25">
      <c r="A12" s="88" t="s">
        <v>2</v>
      </c>
      <c r="B12" s="6" t="s">
        <v>45</v>
      </c>
      <c r="C12" s="6" t="s">
        <v>3</v>
      </c>
      <c r="D12" s="6" t="s">
        <v>132</v>
      </c>
      <c r="E12" s="6" t="s">
        <v>133</v>
      </c>
      <c r="F12" s="89" t="s">
        <v>134</v>
      </c>
    </row>
    <row r="13" spans="1:8" x14ac:dyDescent="0.25">
      <c r="A13" s="70" t="str">
        <f>'Info general'!B16</f>
        <v xml:space="preserve">Thermo pour le transport </v>
      </c>
      <c r="B13" s="79">
        <f>'Info general'!C16</f>
        <v>1</v>
      </c>
      <c r="C13" s="79" t="s">
        <v>124</v>
      </c>
      <c r="D13" s="32">
        <f>'Info general'!E16</f>
        <v>2500</v>
      </c>
      <c r="E13" s="32">
        <f t="shared" ref="E13:E15" si="0">B13*D13</f>
        <v>2500</v>
      </c>
      <c r="F13" s="102" t="s">
        <v>135</v>
      </c>
    </row>
    <row r="14" spans="1:8" x14ac:dyDescent="0.25">
      <c r="A14" s="70" t="str">
        <f>'Info general'!B17</f>
        <v>Thermo pour le transport petit (24l)</v>
      </c>
      <c r="B14" s="79">
        <f>'Info general'!C17</f>
        <v>1</v>
      </c>
      <c r="C14" s="79" t="s">
        <v>124</v>
      </c>
      <c r="D14" s="32">
        <f>'Info general'!E17</f>
        <v>2200</v>
      </c>
      <c r="E14" s="32">
        <f t="shared" si="0"/>
        <v>2200</v>
      </c>
      <c r="F14" s="102" t="s">
        <v>135</v>
      </c>
    </row>
    <row r="15" spans="1:8" x14ac:dyDescent="0.25">
      <c r="A15" s="70" t="str">
        <f>'Info general'!B18</f>
        <v>Amenagement boutique (nattes)</v>
      </c>
      <c r="B15" s="79">
        <f>'Info general'!C18</f>
        <v>1</v>
      </c>
      <c r="C15" s="79" t="s">
        <v>124</v>
      </c>
      <c r="D15" s="32">
        <f>'Info general'!E18</f>
        <v>500</v>
      </c>
      <c r="E15" s="32">
        <f t="shared" si="0"/>
        <v>500</v>
      </c>
      <c r="F15" s="102" t="s">
        <v>135</v>
      </c>
    </row>
    <row r="16" spans="1:8" ht="30" x14ac:dyDescent="0.25">
      <c r="A16" s="70" t="str">
        <f>'Info general'!B19</f>
        <v>Equipment (balance,2 couteaux, pots, 2 multiprises)</v>
      </c>
      <c r="B16" s="79">
        <f>'Info general'!C19</f>
        <v>1</v>
      </c>
      <c r="C16" s="79" t="s">
        <v>124</v>
      </c>
      <c r="D16" s="32">
        <f>'Info general'!E19</f>
        <v>2320</v>
      </c>
      <c r="E16" s="32">
        <f t="shared" ref="E16:E18" si="1">B16*D16</f>
        <v>2320</v>
      </c>
      <c r="F16" s="102" t="s">
        <v>135</v>
      </c>
    </row>
    <row r="17" spans="1:7" ht="30" x14ac:dyDescent="0.25">
      <c r="A17" s="70" t="str">
        <f>'Info general'!B20</f>
        <v>Congelateur solaire 208 litres, avec panneaux, installation et transport</v>
      </c>
      <c r="B17" s="79">
        <f>'Info general'!C20</f>
        <v>1</v>
      </c>
      <c r="C17" s="79" t="s">
        <v>124</v>
      </c>
      <c r="D17" s="32">
        <f>'Info general'!E20</f>
        <v>54000</v>
      </c>
      <c r="E17" s="32">
        <f t="shared" si="1"/>
        <v>54000</v>
      </c>
      <c r="F17" s="102" t="s">
        <v>135</v>
      </c>
    </row>
    <row r="18" spans="1:7" ht="30" x14ac:dyDescent="0.25">
      <c r="A18" s="70" t="str">
        <f>'Info general'!B21</f>
        <v>Forfait demarrage (transport materiels, visites fournisseurs, etc.)</v>
      </c>
      <c r="B18" s="79">
        <f>'Info general'!C21</f>
        <v>1</v>
      </c>
      <c r="C18" s="79" t="s">
        <v>124</v>
      </c>
      <c r="D18" s="32">
        <f>'Info general'!E21</f>
        <v>2000</v>
      </c>
      <c r="E18" s="32">
        <f t="shared" si="1"/>
        <v>2000</v>
      </c>
      <c r="F18" s="102" t="s">
        <v>135</v>
      </c>
    </row>
    <row r="19" spans="1:7" x14ac:dyDescent="0.25">
      <c r="A19" s="90"/>
      <c r="B19" s="48"/>
      <c r="C19" s="79"/>
      <c r="D19" s="32"/>
      <c r="E19" s="32"/>
      <c r="F19" s="50"/>
      <c r="G19" s="2"/>
    </row>
    <row r="20" spans="1:7" s="95" customFormat="1" ht="15.75" x14ac:dyDescent="0.25">
      <c r="A20" s="91" t="s">
        <v>136</v>
      </c>
      <c r="B20" s="92"/>
      <c r="C20" s="92"/>
      <c r="D20" s="92"/>
      <c r="E20" s="93">
        <f>SUM(E13:E19)</f>
        <v>63520</v>
      </c>
      <c r="F20" s="94" t="s">
        <v>76</v>
      </c>
    </row>
    <row r="21" spans="1:7" s="71" customFormat="1" x14ac:dyDescent="0.25">
      <c r="A21" s="96"/>
      <c r="B21" s="79"/>
      <c r="D21" s="97"/>
      <c r="E21" s="97"/>
      <c r="F21" s="98"/>
    </row>
    <row r="22" spans="1:7" ht="18.75" x14ac:dyDescent="0.25">
      <c r="A22" s="87" t="s">
        <v>137</v>
      </c>
      <c r="B22" s="78"/>
      <c r="C22" s="78"/>
      <c r="D22" s="78"/>
      <c r="E22" s="78"/>
      <c r="F22" s="61"/>
      <c r="G22" s="37"/>
    </row>
    <row r="23" spans="1:7" ht="14.45" customHeight="1" x14ac:dyDescent="0.25">
      <c r="A23" s="88" t="s">
        <v>28</v>
      </c>
      <c r="B23" s="6" t="s">
        <v>45</v>
      </c>
      <c r="C23" s="6" t="s">
        <v>3</v>
      </c>
      <c r="D23" s="6" t="s">
        <v>132</v>
      </c>
      <c r="E23" s="6" t="s">
        <v>133</v>
      </c>
      <c r="F23" s="89" t="s">
        <v>134</v>
      </c>
    </row>
    <row r="24" spans="1:7" x14ac:dyDescent="0.25">
      <c r="A24" s="99" t="s">
        <v>5</v>
      </c>
      <c r="B24" s="21"/>
      <c r="C24" s="21"/>
      <c r="D24" s="26"/>
      <c r="E24" s="100">
        <f>SUM(E25:E25)</f>
        <v>1000</v>
      </c>
      <c r="F24" s="101" t="s">
        <v>138</v>
      </c>
      <c r="G24" s="2"/>
    </row>
    <row r="25" spans="1:7" x14ac:dyDescent="0.25">
      <c r="A25" s="70" t="str">
        <f>'Plan economique (PAS)'!B11</f>
        <v>Location</v>
      </c>
      <c r="B25" s="79">
        <f>'Plan economique (PAS)'!C11</f>
        <v>1</v>
      </c>
      <c r="C25" s="79" t="str">
        <f>'Plan economique (PAS)'!D11</f>
        <v>Location</v>
      </c>
      <c r="D25" s="32">
        <f>'Plan economique (PAS)'!E11</f>
        <v>1000</v>
      </c>
      <c r="E25" s="32">
        <f>B25*D25</f>
        <v>1000</v>
      </c>
      <c r="F25" s="102" t="s">
        <v>138</v>
      </c>
    </row>
    <row r="26" spans="1:7" x14ac:dyDescent="0.25">
      <c r="B26" s="79"/>
      <c r="C26" s="79"/>
      <c r="D26" s="32"/>
      <c r="E26" s="32"/>
      <c r="F26" s="50"/>
      <c r="G26" s="68"/>
    </row>
    <row r="27" spans="1:7" x14ac:dyDescent="0.25">
      <c r="A27" s="24" t="s">
        <v>149</v>
      </c>
      <c r="B27" s="21"/>
      <c r="C27" s="21"/>
      <c r="D27" s="26"/>
      <c r="E27" s="100">
        <f>SUM(E28:E33)</f>
        <v>9800</v>
      </c>
      <c r="F27" s="103" t="s">
        <v>98</v>
      </c>
    </row>
    <row r="28" spans="1:7" x14ac:dyDescent="0.25">
      <c r="A28" s="70" t="str">
        <f>'Plan economique (PAS)'!B16</f>
        <v>Poisson</v>
      </c>
      <c r="B28" s="79">
        <f>'Plan economique (PAS)'!C16</f>
        <v>100</v>
      </c>
      <c r="C28" s="79" t="str">
        <f>'Plan economique (PAS)'!D16</f>
        <v>kg</v>
      </c>
      <c r="D28" s="32">
        <f>'Plan economique (PAS)'!E16</f>
        <v>30</v>
      </c>
      <c r="E28" s="32">
        <f>B28*D28</f>
        <v>3000</v>
      </c>
      <c r="F28" s="102" t="s">
        <v>98</v>
      </c>
    </row>
    <row r="29" spans="1:7" x14ac:dyDescent="0.25">
      <c r="A29" s="70" t="str">
        <f>'Plan economique (PAS)'!B17</f>
        <v>Légumes</v>
      </c>
      <c r="B29" s="79">
        <f>'Plan economique (PAS)'!C17</f>
        <v>100</v>
      </c>
      <c r="C29" s="79" t="str">
        <f>'Plan economique (PAS)'!D17</f>
        <v>kg</v>
      </c>
      <c r="D29" s="32">
        <f>'Plan economique (PAS)'!E17</f>
        <v>25</v>
      </c>
      <c r="E29" s="32">
        <f>B29*D29</f>
        <v>2500</v>
      </c>
      <c r="F29" s="102" t="s">
        <v>98</v>
      </c>
    </row>
    <row r="30" spans="1:7" x14ac:dyDescent="0.25">
      <c r="A30" s="70" t="str">
        <f>'Plan economique (PAS)'!B18</f>
        <v>Transport</v>
      </c>
      <c r="B30" s="79">
        <f>'Plan economique (PAS)'!C18</f>
        <v>1</v>
      </c>
      <c r="C30" s="79" t="str">
        <f>'Plan economique (PAS)'!D18</f>
        <v>transport</v>
      </c>
      <c r="D30" s="32">
        <f>'Plan economique (PAS)'!E18</f>
        <v>2100</v>
      </c>
      <c r="E30" s="32">
        <f>B30*D30</f>
        <v>2100</v>
      </c>
      <c r="F30" s="102" t="s">
        <v>98</v>
      </c>
    </row>
    <row r="31" spans="1:7" x14ac:dyDescent="0.25">
      <c r="A31" s="70" t="str">
        <f>'Plan economique (PAS)'!B20</f>
        <v>Poulet</v>
      </c>
      <c r="B31" s="79">
        <f>'Plan economique (PAS)'!C20</f>
        <v>2</v>
      </c>
      <c r="C31" s="79" t="str">
        <f>'Plan economique (PAS)'!D20</f>
        <v>carton 10 kg</v>
      </c>
      <c r="D31" s="32">
        <f>'Plan economique (PAS)'!E20</f>
        <v>1000</v>
      </c>
      <c r="E31" s="32">
        <f>B31*D31</f>
        <v>2000</v>
      </c>
      <c r="F31" s="102" t="s">
        <v>98</v>
      </c>
    </row>
    <row r="32" spans="1:7" x14ac:dyDescent="0.25">
      <c r="A32" s="70" t="str">
        <f>'Plan economique (PAS)'!B21</f>
        <v>Transport poulet</v>
      </c>
      <c r="B32" s="79">
        <f>'Plan economique (PAS)'!C21</f>
        <v>2</v>
      </c>
      <c r="C32" s="79" t="str">
        <f>'Plan economique (PAS)'!D21</f>
        <v>carton 10 kg</v>
      </c>
      <c r="D32" s="32">
        <f>'Plan economique (PAS)'!E21</f>
        <v>100</v>
      </c>
      <c r="E32" s="32">
        <f>B32*D32</f>
        <v>200</v>
      </c>
      <c r="F32" s="102" t="s">
        <v>98</v>
      </c>
    </row>
    <row r="33" spans="1:6" x14ac:dyDescent="0.25">
      <c r="B33" s="79"/>
      <c r="C33" s="79"/>
      <c r="D33" s="32"/>
      <c r="E33" s="32"/>
      <c r="F33" s="102"/>
    </row>
    <row r="34" spans="1:6" x14ac:dyDescent="0.25">
      <c r="A34" s="24" t="s">
        <v>150</v>
      </c>
      <c r="B34" s="21"/>
      <c r="C34" s="21"/>
      <c r="D34" s="26"/>
      <c r="E34" s="100">
        <f>SUM(E35:E36)</f>
        <v>295</v>
      </c>
      <c r="F34" s="103" t="s">
        <v>98</v>
      </c>
    </row>
    <row r="35" spans="1:6" x14ac:dyDescent="0.25">
      <c r="A35" s="70" t="str">
        <f>'Plan economique (PAS)'!B22</f>
        <v>Bissap matière première (bissap, sucre)</v>
      </c>
      <c r="B35" s="79">
        <f>'Plan economique (PAS)'!C22</f>
        <v>45</v>
      </c>
      <c r="C35" s="79" t="str">
        <f>'Plan economique (PAS)'!D22</f>
        <v>bouteille 50cl</v>
      </c>
      <c r="D35" s="32">
        <f>'Plan economique (PAS)'!E22</f>
        <v>6.5555555555555554</v>
      </c>
      <c r="E35" s="32">
        <f>B35*D35</f>
        <v>295</v>
      </c>
      <c r="F35" s="102" t="s">
        <v>98</v>
      </c>
    </row>
    <row r="36" spans="1:6" x14ac:dyDescent="0.25">
      <c r="B36" s="79"/>
      <c r="C36" s="79"/>
      <c r="D36" s="32"/>
      <c r="E36" s="32"/>
      <c r="F36" s="102"/>
    </row>
    <row r="37" spans="1:6" x14ac:dyDescent="0.25">
      <c r="A37" s="24" t="s">
        <v>151</v>
      </c>
      <c r="B37" s="21"/>
      <c r="C37" s="21"/>
      <c r="D37" s="26"/>
      <c r="E37" s="100">
        <f>SUM(E38:E44)</f>
        <v>9800</v>
      </c>
      <c r="F37" s="103" t="s">
        <v>98</v>
      </c>
    </row>
    <row r="38" spans="1:6" x14ac:dyDescent="0.25">
      <c r="A38" s="70" t="str">
        <f>'Plan economique (PAS)'!B23</f>
        <v>Légumes (piment, nyo, etc.)</v>
      </c>
      <c r="B38" s="79">
        <f>'Plan economique (PAS)'!C23</f>
        <v>1</v>
      </c>
      <c r="C38" s="79" t="str">
        <f>'Plan economique (PAS)'!D23</f>
        <v>forfait</v>
      </c>
      <c r="D38" s="32">
        <f>'Plan economique (PAS)'!E23</f>
        <v>400</v>
      </c>
      <c r="E38" s="32">
        <f t="shared" ref="E38:E43" si="2">B38*D38</f>
        <v>400</v>
      </c>
      <c r="F38" s="102" t="s">
        <v>98</v>
      </c>
    </row>
    <row r="39" spans="1:6" x14ac:dyDescent="0.25">
      <c r="A39" s="70" t="str">
        <f>'Plan economique (PAS)'!B24</f>
        <v>Pate</v>
      </c>
      <c r="B39" s="79">
        <f>'Plan economique (PAS)'!C24</f>
        <v>2</v>
      </c>
      <c r="C39" s="79" t="str">
        <f>'Plan economique (PAS)'!D24</f>
        <v>sac 10 kg</v>
      </c>
      <c r="D39" s="32">
        <f>'Plan economique (PAS)'!E24</f>
        <v>300</v>
      </c>
      <c r="E39" s="32">
        <f t="shared" si="2"/>
        <v>600</v>
      </c>
      <c r="F39" s="102" t="s">
        <v>98</v>
      </c>
    </row>
    <row r="40" spans="1:6" x14ac:dyDescent="0.25">
      <c r="A40" s="70" t="str">
        <f>'Plan economique (PAS)'!B25</f>
        <v>Huile</v>
      </c>
      <c r="B40" s="79">
        <f>'Plan economique (PAS)'!C25+5</f>
        <v>7</v>
      </c>
      <c r="C40" s="79" t="str">
        <f>'Plan economique (PAS)'!D25</f>
        <v>bidon 20l</v>
      </c>
      <c r="D40" s="32">
        <f>'Plan economique (PAS)'!E25</f>
        <v>1000</v>
      </c>
      <c r="E40" s="32">
        <f t="shared" si="2"/>
        <v>7000</v>
      </c>
      <c r="F40" s="102" t="s">
        <v>154</v>
      </c>
    </row>
    <row r="41" spans="1:6" x14ac:dyDescent="0.25">
      <c r="A41" s="70" t="str">
        <f>'Plan economique (PAS)'!B26</f>
        <v>Biscuit</v>
      </c>
      <c r="B41" s="79">
        <f>'Plan economique (PAS)'!C26</f>
        <v>2</v>
      </c>
      <c r="C41" s="79" t="str">
        <f>'Plan economique (PAS)'!D26</f>
        <v>sac 50 ud</v>
      </c>
      <c r="D41" s="32">
        <f>'Plan economique (PAS)'!E26</f>
        <v>370</v>
      </c>
      <c r="E41" s="32">
        <f t="shared" si="2"/>
        <v>740</v>
      </c>
      <c r="F41" s="102" t="s">
        <v>98</v>
      </c>
    </row>
    <row r="42" spans="1:6" x14ac:dyDescent="0.25">
      <c r="A42" s="70" t="str">
        <f>'Plan economique (PAS)'!B27</f>
        <v>Crédit téléphonique</v>
      </c>
      <c r="B42" s="79">
        <f>'Plan economique (PAS)'!C27</f>
        <v>1</v>
      </c>
      <c r="C42" s="79" t="str">
        <f>'Plan economique (PAS)'!D27</f>
        <v>forfait</v>
      </c>
      <c r="D42" s="32">
        <f>'Plan economique (PAS)'!E27</f>
        <v>950</v>
      </c>
      <c r="E42" s="32">
        <f t="shared" si="2"/>
        <v>950</v>
      </c>
      <c r="F42" s="102" t="s">
        <v>98</v>
      </c>
    </row>
    <row r="43" spans="1:6" x14ac:dyDescent="0.25">
      <c r="A43" s="70" t="str">
        <f>'Plan economique (PAS)'!B28</f>
        <v>Transport</v>
      </c>
      <c r="B43" s="79">
        <f>'Plan economique (PAS)'!C28</f>
        <v>1</v>
      </c>
      <c r="C43" s="79" t="str">
        <f>'Plan economique (PAS)'!D28</f>
        <v>forfait</v>
      </c>
      <c r="D43" s="32">
        <f>'Plan economique (PAS)'!E28</f>
        <v>110</v>
      </c>
      <c r="E43" s="32">
        <f t="shared" si="2"/>
        <v>110</v>
      </c>
      <c r="F43" s="102" t="s">
        <v>98</v>
      </c>
    </row>
    <row r="44" spans="1:6" x14ac:dyDescent="0.25">
      <c r="B44" s="79"/>
      <c r="C44" s="79"/>
      <c r="D44" s="32"/>
      <c r="E44" s="32"/>
      <c r="F44" s="102"/>
    </row>
    <row r="45" spans="1:6" x14ac:dyDescent="0.25">
      <c r="A45" s="24" t="s">
        <v>139</v>
      </c>
      <c r="B45" s="21"/>
      <c r="C45" s="21"/>
      <c r="D45" s="26"/>
      <c r="E45" s="100">
        <f>E46</f>
        <v>585</v>
      </c>
      <c r="F45" s="103"/>
    </row>
    <row r="46" spans="1:6" s="11" customFormat="1" x14ac:dyDescent="0.25">
      <c r="A46" s="70" t="s">
        <v>140</v>
      </c>
      <c r="B46" s="79">
        <v>1</v>
      </c>
      <c r="C46" s="79" t="s">
        <v>79</v>
      </c>
      <c r="D46" s="32">
        <v>585</v>
      </c>
      <c r="E46" s="32">
        <f t="shared" ref="E46" si="3">B46*D46</f>
        <v>585</v>
      </c>
      <c r="F46" s="102"/>
    </row>
    <row r="47" spans="1:6" x14ac:dyDescent="0.25">
      <c r="B47" s="79"/>
      <c r="C47" s="79"/>
      <c r="D47" s="32"/>
      <c r="E47" s="32"/>
      <c r="F47" s="50"/>
    </row>
    <row r="48" spans="1:6" s="95" customFormat="1" ht="15.75" x14ac:dyDescent="0.25">
      <c r="A48" s="91" t="s">
        <v>141</v>
      </c>
      <c r="B48" s="92"/>
      <c r="C48" s="92"/>
      <c r="D48" s="92"/>
      <c r="E48" s="93">
        <f>E27+E24+E45+E34+E37</f>
        <v>21480</v>
      </c>
      <c r="F48" s="94"/>
    </row>
    <row r="49" spans="1:9" x14ac:dyDescent="0.25">
      <c r="A49" s="104"/>
      <c r="B49" s="3"/>
      <c r="C49" s="3"/>
      <c r="D49" s="3"/>
      <c r="G49" s="72"/>
      <c r="I49" s="73"/>
    </row>
    <row r="50" spans="1:9" ht="18.75" x14ac:dyDescent="0.25">
      <c r="A50" s="81" t="s">
        <v>68</v>
      </c>
      <c r="B50" s="81"/>
      <c r="C50" s="81"/>
      <c r="D50" s="81"/>
      <c r="E50" s="81"/>
      <c r="F50" s="81" t="s">
        <v>134</v>
      </c>
      <c r="G50" s="2"/>
      <c r="I50" s="73"/>
    </row>
    <row r="51" spans="1:9" x14ac:dyDescent="0.25">
      <c r="A51" s="105" t="str">
        <f>A20</f>
        <v>Total Investissement AGR couvert</v>
      </c>
      <c r="B51" s="105"/>
      <c r="C51" s="105"/>
      <c r="D51" s="105"/>
      <c r="E51" s="105">
        <f>E20</f>
        <v>63520</v>
      </c>
      <c r="F51" s="106" t="s">
        <v>135</v>
      </c>
      <c r="G51" s="72"/>
    </row>
    <row r="52" spans="1:9" x14ac:dyDescent="0.25">
      <c r="A52" s="105" t="str">
        <f>A24</f>
        <v>Coûts fixes</v>
      </c>
      <c r="B52" s="105"/>
      <c r="C52" s="105"/>
      <c r="D52" s="105"/>
      <c r="E52" s="107">
        <f>E24</f>
        <v>1000</v>
      </c>
      <c r="F52" s="106" t="s">
        <v>138</v>
      </c>
    </row>
    <row r="53" spans="1:9" s="70" customFormat="1" x14ac:dyDescent="0.25">
      <c r="A53" s="105" t="str">
        <f>A27</f>
        <v>Coûts variables. Vente de poisson, légumes et poulets, cycle hebdomadaire</v>
      </c>
      <c r="B53" s="105"/>
      <c r="C53" s="105"/>
      <c r="D53" s="105"/>
      <c r="E53" s="107">
        <f>E27</f>
        <v>9800</v>
      </c>
      <c r="F53" s="106" t="s">
        <v>98</v>
      </c>
    </row>
    <row r="54" spans="1:9" s="70" customFormat="1" x14ac:dyDescent="0.25">
      <c r="A54" s="105" t="str">
        <f>A37</f>
        <v>Coûts variables. Vente d'autre type de produits complementaires, cycle hebdomadaire</v>
      </c>
      <c r="B54" s="105"/>
      <c r="C54" s="105"/>
      <c r="D54" s="105"/>
      <c r="E54" s="107">
        <f>E37</f>
        <v>9800</v>
      </c>
      <c r="F54" s="106" t="s">
        <v>98</v>
      </c>
    </row>
    <row r="55" spans="1:9" s="70" customFormat="1" x14ac:dyDescent="0.25">
      <c r="A55" s="105" t="str">
        <f>A34</f>
        <v>Coûts variables. Elaboration de jus de bissap, cycle hebdomadaire</v>
      </c>
      <c r="B55" s="105"/>
      <c r="C55" s="105"/>
      <c r="D55" s="105"/>
      <c r="E55" s="107">
        <f>E34</f>
        <v>295</v>
      </c>
      <c r="F55" s="106" t="s">
        <v>98</v>
      </c>
    </row>
    <row r="56" spans="1:9" s="70" customFormat="1" x14ac:dyDescent="0.25">
      <c r="A56" s="105" t="str">
        <f>A45</f>
        <v>Autres</v>
      </c>
      <c r="B56" s="105"/>
      <c r="C56" s="105"/>
      <c r="D56" s="105"/>
      <c r="E56" s="107">
        <f t="shared" ref="E56" si="4">E45</f>
        <v>585</v>
      </c>
      <c r="F56" s="106" t="s">
        <v>98</v>
      </c>
    </row>
    <row r="57" spans="1:9" s="70" customFormat="1" x14ac:dyDescent="0.25">
      <c r="A57" s="105"/>
      <c r="B57" s="105"/>
      <c r="C57" s="105"/>
      <c r="D57" s="105"/>
      <c r="E57" s="107"/>
      <c r="F57" s="108"/>
    </row>
    <row r="58" spans="1:9" s="95" customFormat="1" ht="15.75" x14ac:dyDescent="0.25">
      <c r="A58" s="91" t="s">
        <v>142</v>
      </c>
      <c r="B58" s="92"/>
      <c r="C58" s="92"/>
      <c r="D58" s="92"/>
      <c r="E58" s="93">
        <f>SUM(E51:E57)</f>
        <v>85000</v>
      </c>
      <c r="F58" s="94"/>
    </row>
    <row r="59" spans="1:9" x14ac:dyDescent="0.25">
      <c r="E59" s="44"/>
      <c r="F59" s="109"/>
    </row>
    <row r="61" spans="1:9" x14ac:dyDescent="0.25">
      <c r="A61" s="73"/>
      <c r="B61" s="73"/>
    </row>
    <row r="63" spans="1:9" x14ac:dyDescent="0.25">
      <c r="A63" s="73"/>
    </row>
    <row r="72" spans="1:1" x14ac:dyDescent="0.25">
      <c r="A72" s="90"/>
    </row>
    <row r="73" spans="1:1" x14ac:dyDescent="0.25">
      <c r="A73" s="90"/>
    </row>
    <row r="74" spans="1:1" x14ac:dyDescent="0.25">
      <c r="A74" s="90"/>
    </row>
    <row r="75" spans="1:1" x14ac:dyDescent="0.25">
      <c r="A75" s="90"/>
    </row>
    <row r="76" spans="1:1" x14ac:dyDescent="0.25">
      <c r="A76" s="90"/>
    </row>
    <row r="77" spans="1:1" x14ac:dyDescent="0.25">
      <c r="A77" s="90"/>
    </row>
  </sheetData>
  <mergeCells count="2">
    <mergeCell ref="B7:F7"/>
    <mergeCell ref="B8:F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 general</vt:lpstr>
      <vt:lpstr>Plan economique (PAS)</vt:lpstr>
      <vt:lpstr>Apport CRM</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2021-01-26T18:06:18Z</cp:lastPrinted>
  <dcterms:created xsi:type="dcterms:W3CDTF">2020-07-27T11:11:56Z</dcterms:created>
  <dcterms:modified xsi:type="dcterms:W3CDTF">2021-07-05T17:18:48Z</dcterms:modified>
</cp:coreProperties>
</file>